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65" yWindow="-165" windowWidth="16290" windowHeight="11760" tabRatio="909" firstSheet="4" activeTab="5"/>
  </bookViews>
  <sheets>
    <sheet name="FS-HF" sheetId="3" state="hidden" r:id="rId1"/>
    <sheet name="HF-HP" sheetId="12" state="hidden" r:id="rId2"/>
    <sheet name="HF-HC" sheetId="5" state="hidden" r:id="rId3"/>
    <sheet name="HC-HP" sheetId="10" state="hidden" r:id="rId4"/>
    <sheet name="FSxHFnew" sheetId="71" r:id="rId5"/>
    <sheet name="HCxHFnew" sheetId="80" r:id="rId6"/>
    <sheet name="HPxHFnew" sheetId="81" r:id="rId7"/>
    <sheet name="HCxHPnew" sheetId="82" r:id="rId8"/>
    <sheet name="ОУ 2015" sheetId="68" state="hidden" r:id="rId9"/>
    <sheet name="Розница ЛС" sheetId="79" state="hidden" r:id="rId10"/>
    <sheet name="ОДХnew" sheetId="83" state="hidden" r:id="rId11"/>
    <sheet name="ФХД2" sheetId="70" state="hidden" r:id="rId12"/>
    <sheet name="НБ выпл." sheetId="67" state="hidden" r:id="rId13"/>
    <sheet name="НБ прем." sheetId="66" state="hidden" r:id="rId14"/>
    <sheet name="OДХold" sheetId="69" state="hidden" r:id="rId15"/>
    <sheet name="РБ 2015" sheetId="49" state="hidden" r:id="rId16"/>
    <sheet name="ГБ 2015" sheetId="46" state="hidden" r:id="rId17"/>
    <sheet name="ГБ 2016" sheetId="77" state="hidden" r:id="rId18"/>
    <sheet name="МБ 2016" sheetId="78" state="hidden" r:id="rId19"/>
    <sheet name="Мб 2015" sheetId="48" state="hidden" r:id="rId20"/>
    <sheet name="КОМУ 2015" sheetId="59" state="hidden" r:id="rId21"/>
    <sheet name="КОМУ 2016" sheetId="73" state="hidden" r:id="rId22"/>
    <sheet name="ДФ 2015" sheetId="64" state="hidden" r:id="rId23"/>
    <sheet name="ДФ 2016" sheetId="74" state="hidden" r:id="rId24"/>
    <sheet name="009 2015" sheetId="65" state="hidden" r:id="rId25"/>
    <sheet name="009 2016" sheetId="76" state="hidden" r:id="rId26"/>
    <sheet name="039 2015" sheetId="61" state="hidden" r:id="rId27"/>
    <sheet name="039 2016" sheetId="75" state="hidden" r:id="rId28"/>
    <sheet name="Доноры" sheetId="72" state="hidden" r:id="rId29"/>
  </sheets>
  <externalReferences>
    <externalReference r:id="rId30"/>
    <externalReference r:id="rId31"/>
    <externalReference r:id="rId32"/>
    <externalReference r:id="rId33"/>
  </externalReferences>
  <definedNames>
    <definedName name="_xlnm._FilterDatabase" localSheetId="16" hidden="1">'ГБ 2015'!$A$51:$P$303</definedName>
    <definedName name="_xlnm._FilterDatabase" localSheetId="20" hidden="1">'КОМУ 2015'!$A$12:$D$2941</definedName>
    <definedName name="_xlnm._FilterDatabase" localSheetId="21" hidden="1">'КОМУ 2016'!$A$12:$D$3025</definedName>
    <definedName name="BuiltIn_Print_Titles">#N/A</definedName>
    <definedName name="BuiltIn_Print_Titles___0">#N/A</definedName>
    <definedName name="CountryList">[1]General!#REF!</definedName>
    <definedName name="CP">#REF!</definedName>
    <definedName name="FA">#REF!</definedName>
    <definedName name="FandP">#REF!</definedName>
    <definedName name="FS">#REF!</definedName>
    <definedName name="HTML_CodePage" hidden="1">9</definedName>
    <definedName name="HTML_Control" localSheetId="25" hidden="1">{"'02 (2)'!$A$1:$Y$27"}</definedName>
    <definedName name="HTML_Control" localSheetId="27" hidden="1">{"'02 (2)'!$A$1:$Y$27"}</definedName>
    <definedName name="HTML_Control" localSheetId="17" hidden="1">{"'02 (2)'!$A$1:$Y$27"}</definedName>
    <definedName name="HTML_Control" localSheetId="23" hidden="1">{"'02 (2)'!$A$1:$Y$27"}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macro">#REF!</definedName>
    <definedName name="NA">#REF!</definedName>
    <definedName name="ratios">#REF!</definedName>
    <definedName name="TABLE" localSheetId="8">'ОУ 2015'!$A$3:$A$17</definedName>
    <definedName name="TABLE_2" localSheetId="8">'ОУ 2015'!$A$2:$D$2</definedName>
    <definedName name="_xlnm.Print_Titles" localSheetId="16">'ГБ 2015'!$6:$8</definedName>
    <definedName name="_xlnm.Print_Titles" localSheetId="17">'ГБ 2016'!$7:$9</definedName>
    <definedName name="_xlnm.Print_Titles" localSheetId="19">'Мб 2015'!$6:$8</definedName>
    <definedName name="_xlnm.Print_Titles" localSheetId="18">'МБ 2016'!$7:$9</definedName>
    <definedName name="_xlnm.Print_Titles" localSheetId="8">'ОУ 2015'!$2:$2</definedName>
    <definedName name="_xlnm.Print_Titles" localSheetId="15">'РБ 2015'!$6:$8</definedName>
    <definedName name="_xlnm.Print_Titles" localSheetId="11">ФХД2!$6:$12</definedName>
    <definedName name="_xlnm.Print_Area" localSheetId="0">'FS-HF'!$A$1:$T$18</definedName>
    <definedName name="_xlnm.Print_Area" localSheetId="3">'HC-HP'!$A$1:$AK$48</definedName>
    <definedName name="_xlnm.Print_Area" localSheetId="2">'HF-HC'!$A$1:$Q$49</definedName>
    <definedName name="_xlnm.Print_Area" localSheetId="1">'HF-HP'!$A$1:$Q$38</definedName>
    <definedName name="_xlnm.Print_Area" localSheetId="22">'ДФ 2015'!$B$1:$D$31</definedName>
    <definedName name="_xlnm.Print_Area" localSheetId="23">'ДФ 2016'!#REF!</definedName>
    <definedName name="_xlnm.Print_Area" localSheetId="9">'Розница ЛС'!$A$1:$N$65</definedName>
    <definedName name="С071" localSheetId="25">#REF!</definedName>
    <definedName name="С071" localSheetId="27">#REF!</definedName>
    <definedName name="С071" localSheetId="17">#REF!</definedName>
    <definedName name="С071" localSheetId="23">#REF!</definedName>
    <definedName name="С071" localSheetId="21">#REF!</definedName>
    <definedName name="С071">#REF!</definedName>
  </definedNames>
  <calcPr calcId="145621"/>
</workbook>
</file>

<file path=xl/calcChain.xml><?xml version="1.0" encoding="utf-8"?>
<calcChain xmlns="http://schemas.openxmlformats.org/spreadsheetml/2006/main">
  <c r="O27" i="82" l="1"/>
  <c r="M27" i="82"/>
  <c r="L23" i="82"/>
  <c r="C23" i="82"/>
  <c r="L8" i="82"/>
  <c r="O16" i="82"/>
  <c r="M16" i="82"/>
  <c r="L16" i="82"/>
  <c r="C16" i="82"/>
  <c r="O15" i="82"/>
  <c r="M15" i="82"/>
  <c r="L15" i="82"/>
  <c r="C15" i="82"/>
  <c r="O14" i="82"/>
  <c r="M14" i="82"/>
  <c r="C14" i="82"/>
  <c r="M7" i="82"/>
  <c r="K15" i="68"/>
  <c r="C5" i="68"/>
  <c r="C4" i="68" s="1"/>
  <c r="M22" i="82" l="1"/>
  <c r="N22" i="82"/>
  <c r="O22" i="82"/>
  <c r="P22" i="82"/>
  <c r="E5" i="82"/>
  <c r="F5" i="82"/>
  <c r="G5" i="82"/>
  <c r="H5" i="82"/>
  <c r="I5" i="82"/>
  <c r="J5" i="82"/>
  <c r="L5" i="82"/>
  <c r="M5" i="82"/>
  <c r="N5" i="82"/>
  <c r="P5" i="82"/>
  <c r="Q5" i="82"/>
  <c r="R5" i="82"/>
  <c r="S5" i="82"/>
  <c r="T5" i="82"/>
  <c r="U5" i="82"/>
  <c r="V5" i="82"/>
  <c r="W5" i="82"/>
  <c r="X5" i="82"/>
  <c r="Y5" i="82"/>
  <c r="Z5" i="82"/>
  <c r="AA5" i="82"/>
  <c r="AB5" i="82"/>
  <c r="AC5" i="82"/>
  <c r="AD5" i="82"/>
  <c r="AE5" i="82"/>
  <c r="AF5" i="82"/>
  <c r="AG5" i="82"/>
  <c r="AH5" i="82"/>
  <c r="AI5" i="82"/>
  <c r="AJ5" i="82"/>
  <c r="O8" i="82"/>
  <c r="K8" i="82" s="1"/>
  <c r="K5" i="82" s="1"/>
  <c r="V36" i="82"/>
  <c r="V31" i="82"/>
  <c r="V32" i="82"/>
  <c r="L22" i="82"/>
  <c r="C22" i="82"/>
  <c r="G19" i="68"/>
  <c r="G20" i="68"/>
  <c r="G18" i="68"/>
  <c r="J19" i="81"/>
  <c r="J20" i="81"/>
  <c r="J15" i="81"/>
  <c r="J17" i="81"/>
  <c r="K7" i="81"/>
  <c r="J7" i="81" s="1"/>
  <c r="J25" i="81"/>
  <c r="K24" i="81"/>
  <c r="J24" i="81" s="1"/>
  <c r="K23" i="81"/>
  <c r="J23" i="81" s="1"/>
  <c r="J6" i="81"/>
  <c r="K22" i="81" l="1"/>
  <c r="J22" i="81" s="1"/>
  <c r="O5" i="82"/>
  <c r="K22" i="82"/>
  <c r="O13" i="82"/>
  <c r="C13" i="82"/>
  <c r="K33" i="80"/>
  <c r="J33" i="80" s="1"/>
  <c r="K37" i="80"/>
  <c r="J37" i="80" s="1"/>
  <c r="K28" i="80"/>
  <c r="J28" i="80" s="1"/>
  <c r="K24" i="80"/>
  <c r="K23" i="80" s="1"/>
  <c r="K9" i="80"/>
  <c r="J9" i="80" s="1"/>
  <c r="K17" i="80"/>
  <c r="J17" i="80" s="1"/>
  <c r="K16" i="80"/>
  <c r="J16" i="80" s="1"/>
  <c r="K15" i="80"/>
  <c r="J24" i="80" l="1"/>
  <c r="J23" i="80" s="1"/>
  <c r="K6" i="80"/>
  <c r="J6" i="80" s="1"/>
  <c r="J15" i="80"/>
  <c r="AB22" i="68" l="1"/>
  <c r="AC22" i="68"/>
  <c r="AA22" i="68"/>
  <c r="AB17" i="68"/>
  <c r="AC17" i="68"/>
  <c r="AA17" i="68"/>
  <c r="H4" i="68"/>
  <c r="H3" i="68" s="1"/>
  <c r="K13" i="81" s="1"/>
  <c r="J13" i="81" s="1"/>
  <c r="I4" i="68"/>
  <c r="I3" i="68" s="1"/>
  <c r="K16" i="81" s="1"/>
  <c r="J4" i="68"/>
  <c r="J3" i="68" s="1"/>
  <c r="K14" i="81" s="1"/>
  <c r="J14" i="81" s="1"/>
  <c r="K4" i="68"/>
  <c r="G4" i="68"/>
  <c r="G17" i="68"/>
  <c r="U4" i="68"/>
  <c r="U3" i="68" s="1"/>
  <c r="V4" i="68"/>
  <c r="V3" i="68" s="1"/>
  <c r="W4" i="68"/>
  <c r="W3" i="68" s="1"/>
  <c r="X4" i="68"/>
  <c r="X3" i="68" s="1"/>
  <c r="Y4" i="68"/>
  <c r="Y3" i="68" s="1"/>
  <c r="Z4" i="68"/>
  <c r="Z3" i="68" s="1"/>
  <c r="AA4" i="68"/>
  <c r="AB4" i="68"/>
  <c r="AB3" i="68" s="1"/>
  <c r="AC4" i="68"/>
  <c r="AC3" i="68" s="1"/>
  <c r="R4" i="68"/>
  <c r="R3" i="68" s="1"/>
  <c r="S4" i="68"/>
  <c r="S3" i="68" s="1"/>
  <c r="T4" i="68"/>
  <c r="T3" i="68" s="1"/>
  <c r="P22" i="68"/>
  <c r="Q22" i="68"/>
  <c r="O22" i="68"/>
  <c r="P17" i="68"/>
  <c r="Q17" i="68"/>
  <c r="O17" i="68"/>
  <c r="P4" i="68"/>
  <c r="Q4" i="68"/>
  <c r="O4" i="68"/>
  <c r="K3" i="68" l="1"/>
  <c r="Q3" i="68"/>
  <c r="K12" i="81"/>
  <c r="J12" i="81" s="1"/>
  <c r="J16" i="81"/>
  <c r="P3" i="68"/>
  <c r="AA3" i="68"/>
  <c r="O3" i="68"/>
  <c r="G3" i="68"/>
  <c r="C7" i="83"/>
  <c r="C8" i="83"/>
  <c r="C9" i="83"/>
  <c r="C10" i="83"/>
  <c r="C11" i="83"/>
  <c r="C12" i="83"/>
  <c r="C13" i="83"/>
  <c r="C14" i="83"/>
  <c r="C6" i="83"/>
  <c r="K5" i="81" l="1"/>
  <c r="J5" i="81" s="1"/>
  <c r="K8" i="80"/>
  <c r="T27" i="82"/>
  <c r="K21" i="81"/>
  <c r="K18" i="80"/>
  <c r="P11" i="71"/>
  <c r="U11" i="71" s="1"/>
  <c r="K4" i="81"/>
  <c r="J4" i="81" s="1"/>
  <c r="AJ47" i="82"/>
  <c r="AJ45" i="82"/>
  <c r="AJ44" i="82" s="1"/>
  <c r="AJ48" i="82" s="1"/>
  <c r="AA45" i="82"/>
  <c r="Z45" i="82"/>
  <c r="AA44" i="82"/>
  <c r="AA48" i="82" s="1"/>
  <c r="J41" i="82"/>
  <c r="G41" i="82" s="1"/>
  <c r="AK41" i="82" s="1"/>
  <c r="Y40" i="82"/>
  <c r="Y39" i="82"/>
  <c r="AK39" i="82" s="1"/>
  <c r="AK38" i="82"/>
  <c r="Y38" i="82"/>
  <c r="I37" i="82"/>
  <c r="H37" i="82"/>
  <c r="X31" i="82"/>
  <c r="X48" i="82" s="1"/>
  <c r="U36" i="82"/>
  <c r="AK32" i="82"/>
  <c r="U32" i="82"/>
  <c r="V48" i="82"/>
  <c r="Q17" i="82"/>
  <c r="K15" i="82"/>
  <c r="AK15" i="82" s="1"/>
  <c r="T13" i="82"/>
  <c r="T12" i="82" s="1"/>
  <c r="D8" i="82"/>
  <c r="C8" i="82" s="1"/>
  <c r="AI7" i="82"/>
  <c r="AI6" i="82"/>
  <c r="AI4" i="82"/>
  <c r="D48" i="80"/>
  <c r="C48" i="80" s="1"/>
  <c r="D46" i="80"/>
  <c r="D42" i="80"/>
  <c r="C42" i="80" s="1"/>
  <c r="Q42" i="80" s="1"/>
  <c r="D41" i="80"/>
  <c r="C41" i="80" s="1"/>
  <c r="Q41" i="80" s="1"/>
  <c r="D40" i="80"/>
  <c r="C40" i="80" s="1"/>
  <c r="Q40" i="80" s="1"/>
  <c r="D39" i="80"/>
  <c r="D33" i="80"/>
  <c r="C33" i="80" s="1"/>
  <c r="Q33" i="80" s="1"/>
  <c r="I18" i="80"/>
  <c r="F18" i="80" s="1"/>
  <c r="I17" i="80"/>
  <c r="F17" i="80" s="1"/>
  <c r="I16" i="80"/>
  <c r="F16" i="80" s="1"/>
  <c r="Q16" i="80" s="1"/>
  <c r="I15" i="80"/>
  <c r="F15" i="80" s="1"/>
  <c r="G14" i="80"/>
  <c r="G5" i="80" s="1"/>
  <c r="G4" i="80" s="1"/>
  <c r="I9" i="80"/>
  <c r="F9" i="80" s="1"/>
  <c r="D9" i="80"/>
  <c r="C9" i="80" s="1"/>
  <c r="O8" i="80"/>
  <c r="M8" i="80" s="1"/>
  <c r="M7" i="80" s="1"/>
  <c r="I8" i="80"/>
  <c r="F8" i="80" s="1"/>
  <c r="I37" i="81"/>
  <c r="F37" i="81" s="1"/>
  <c r="D37" i="81"/>
  <c r="C37" i="81" s="1"/>
  <c r="D36" i="81"/>
  <c r="C36" i="81" s="1"/>
  <c r="P36" i="81" s="1"/>
  <c r="C35" i="81"/>
  <c r="P35" i="81" s="1"/>
  <c r="D28" i="81"/>
  <c r="C28" i="81" s="1"/>
  <c r="P28" i="81" s="1"/>
  <c r="P25" i="81"/>
  <c r="P24" i="81"/>
  <c r="D23" i="81"/>
  <c r="I15" i="81"/>
  <c r="F15" i="81" s="1"/>
  <c r="I14" i="81"/>
  <c r="F14" i="81" s="1"/>
  <c r="I13" i="81"/>
  <c r="F13" i="81" s="1"/>
  <c r="G12" i="81"/>
  <c r="D11" i="81"/>
  <c r="C11" i="81" s="1"/>
  <c r="P11" i="81" s="1"/>
  <c r="N5" i="81"/>
  <c r="I5" i="81"/>
  <c r="I4" i="81" s="1"/>
  <c r="U16" i="71"/>
  <c r="T16" i="71"/>
  <c r="T14" i="71" s="1"/>
  <c r="P10" i="71"/>
  <c r="U10" i="71" s="1"/>
  <c r="O8" i="71"/>
  <c r="U8" i="71" s="1"/>
  <c r="L4" i="79"/>
  <c r="H4" i="79"/>
  <c r="L5" i="81" l="1"/>
  <c r="N4" i="81"/>
  <c r="L4" i="81" s="1"/>
  <c r="D45" i="80"/>
  <c r="C45" i="80" s="1"/>
  <c r="C46" i="80"/>
  <c r="Q46" i="80" s="1"/>
  <c r="AI3" i="82"/>
  <c r="AI48" i="82"/>
  <c r="C23" i="81"/>
  <c r="P23" i="81" s="1"/>
  <c r="D22" i="81"/>
  <c r="C22" i="81" s="1"/>
  <c r="AK47" i="82"/>
  <c r="J21" i="81"/>
  <c r="K18" i="81"/>
  <c r="J18" i="81" s="1"/>
  <c r="J8" i="80"/>
  <c r="J7" i="80" s="1"/>
  <c r="J37" i="82"/>
  <c r="J48" i="82" s="1"/>
  <c r="J38" i="81"/>
  <c r="J18" i="80"/>
  <c r="Q18" i="80" s="1"/>
  <c r="K14" i="80"/>
  <c r="J14" i="80" s="1"/>
  <c r="J13" i="80" s="1"/>
  <c r="AK8" i="82"/>
  <c r="C5" i="82"/>
  <c r="Q13" i="82"/>
  <c r="Q12" i="82" s="1"/>
  <c r="O7" i="80"/>
  <c r="J32" i="80"/>
  <c r="D6" i="80"/>
  <c r="C6" i="80" s="1"/>
  <c r="G13" i="80"/>
  <c r="C39" i="80"/>
  <c r="Q39" i="80" s="1"/>
  <c r="Q9" i="80"/>
  <c r="M13" i="82"/>
  <c r="M12" i="82" s="1"/>
  <c r="P22" i="81"/>
  <c r="F5" i="81"/>
  <c r="F4" i="81" s="1"/>
  <c r="P14" i="81"/>
  <c r="D5" i="82"/>
  <c r="AK5" i="82" s="1"/>
  <c r="I14" i="80"/>
  <c r="F14" i="80" s="1"/>
  <c r="P7" i="71"/>
  <c r="P18" i="71" s="1"/>
  <c r="W31" i="82"/>
  <c r="W48" i="82" s="1"/>
  <c r="G37" i="82"/>
  <c r="AK45" i="82"/>
  <c r="T4" i="82"/>
  <c r="F7" i="80"/>
  <c r="I7" i="80"/>
  <c r="O5" i="80"/>
  <c r="I6" i="80"/>
  <c r="F6" i="80" s="1"/>
  <c r="Q6" i="80" s="1"/>
  <c r="I12" i="81"/>
  <c r="D27" i="81"/>
  <c r="C27" i="81" s="1"/>
  <c r="O7" i="71"/>
  <c r="K5" i="80" l="1"/>
  <c r="J5" i="80"/>
  <c r="J4" i="80" s="1"/>
  <c r="U31" i="82"/>
  <c r="J49" i="80"/>
  <c r="M4" i="82"/>
  <c r="M3" i="82" s="1"/>
  <c r="F13" i="80"/>
  <c r="I5" i="80"/>
  <c r="I49" i="80" s="1"/>
  <c r="I13" i="80"/>
  <c r="T48" i="82"/>
  <c r="Q4" i="82"/>
  <c r="T3" i="82"/>
  <c r="M5" i="80"/>
  <c r="M4" i="80" s="1"/>
  <c r="O4" i="80"/>
  <c r="I38" i="81"/>
  <c r="F12" i="81"/>
  <c r="O18" i="71"/>
  <c r="U7" i="71"/>
  <c r="U48" i="82" l="1"/>
  <c r="M48" i="82"/>
  <c r="I4" i="80"/>
  <c r="F5" i="80"/>
  <c r="Q3" i="82"/>
  <c r="F4" i="80" l="1"/>
  <c r="AJ47" i="10" l="1"/>
  <c r="D28" i="12" l="1"/>
  <c r="L21" i="78" l="1"/>
  <c r="M21" i="78"/>
  <c r="S19" i="48"/>
  <c r="M23" i="78"/>
  <c r="L23" i="78"/>
  <c r="M22" i="78"/>
  <c r="L22" i="78"/>
  <c r="K4" i="78"/>
  <c r="K6" i="78" l="1"/>
  <c r="K8" i="78" l="1"/>
  <c r="K11" i="78"/>
  <c r="K7" i="78"/>
  <c r="Q4" i="48"/>
  <c r="M24" i="78"/>
  <c r="R17" i="48"/>
  <c r="R19" i="48"/>
  <c r="Q5" i="48"/>
  <c r="N3" i="78"/>
  <c r="Q6" i="48"/>
  <c r="S1" i="48"/>
  <c r="Q2" i="48"/>
  <c r="K3" i="78"/>
  <c r="K10" i="78"/>
  <c r="K9" i="78"/>
  <c r="K5" i="78" l="1"/>
  <c r="N4" i="78"/>
  <c r="O4" i="78" s="1"/>
  <c r="P4" i="78" s="1"/>
  <c r="L19" i="78" s="1"/>
  <c r="L18" i="78" s="1"/>
  <c r="Q1" i="48"/>
  <c r="F668" i="76"/>
  <c r="F667" i="76"/>
  <c r="F666" i="76"/>
  <c r="F665" i="76"/>
  <c r="J8" i="76" s="1"/>
  <c r="F664" i="76"/>
  <c r="F663" i="76"/>
  <c r="F661" i="76"/>
  <c r="F658" i="76"/>
  <c r="J2" i="76" s="1"/>
  <c r="F657" i="76"/>
  <c r="F560" i="76"/>
  <c r="J6" i="76" s="1"/>
  <c r="F452" i="76"/>
  <c r="F446" i="76"/>
  <c r="J7" i="76" s="1"/>
  <c r="F441" i="76"/>
  <c r="F341" i="76"/>
  <c r="F241" i="76"/>
  <c r="F210" i="76"/>
  <c r="J3" i="76" s="1"/>
  <c r="I13" i="76"/>
  <c r="J5" i="76"/>
  <c r="J4" i="76"/>
  <c r="C61" i="75"/>
  <c r="C54" i="75"/>
  <c r="D49" i="75"/>
  <c r="C49" i="75"/>
  <c r="D45" i="75"/>
  <c r="C45" i="75"/>
  <c r="D38" i="75"/>
  <c r="I7" i="75" s="1"/>
  <c r="C37" i="75"/>
  <c r="D29" i="75"/>
  <c r="I6" i="75" s="1"/>
  <c r="C29" i="75"/>
  <c r="D22" i="75"/>
  <c r="C22" i="75"/>
  <c r="I20" i="75"/>
  <c r="I19" i="75"/>
  <c r="D17" i="75"/>
  <c r="C17" i="75"/>
  <c r="D14" i="75"/>
  <c r="D11" i="75" s="1"/>
  <c r="C14" i="75"/>
  <c r="C11" i="75"/>
  <c r="I9" i="75"/>
  <c r="H9" i="75"/>
  <c r="I8" i="75"/>
  <c r="H8" i="75"/>
  <c r="J8" i="75" s="1"/>
  <c r="H7" i="75"/>
  <c r="C3" i="74"/>
  <c r="C20" i="74"/>
  <c r="E20" i="74" s="1"/>
  <c r="C24" i="74"/>
  <c r="D27" i="74"/>
  <c r="D30" i="74"/>
  <c r="D31" i="74"/>
  <c r="BH9" i="73"/>
  <c r="AQ9" i="73"/>
  <c r="AO9" i="73"/>
  <c r="AM9" i="73"/>
  <c r="AL9" i="73"/>
  <c r="AF9" i="73"/>
  <c r="AA9" i="73"/>
  <c r="Y9" i="73"/>
  <c r="X9" i="73"/>
  <c r="V9" i="73"/>
  <c r="U9" i="73"/>
  <c r="R9" i="73"/>
  <c r="Q9" i="73"/>
  <c r="N9" i="73"/>
  <c r="M9" i="73"/>
  <c r="K9" i="73"/>
  <c r="J9" i="73"/>
  <c r="I9" i="73"/>
  <c r="BH8" i="73"/>
  <c r="AQ8" i="73"/>
  <c r="AO8" i="73"/>
  <c r="AM8" i="73"/>
  <c r="AL8" i="73"/>
  <c r="AF8" i="73"/>
  <c r="AA8" i="73"/>
  <c r="Y8" i="73"/>
  <c r="X8" i="73"/>
  <c r="V8" i="73"/>
  <c r="U8" i="73"/>
  <c r="R8" i="73"/>
  <c r="Q8" i="73"/>
  <c r="N8" i="73"/>
  <c r="M8" i="73"/>
  <c r="K8" i="73"/>
  <c r="J8" i="73"/>
  <c r="I8" i="73"/>
  <c r="BM8" i="73" s="1"/>
  <c r="BH7" i="73"/>
  <c r="AQ7" i="73"/>
  <c r="AO7" i="73"/>
  <c r="AM7" i="73"/>
  <c r="AL7" i="73"/>
  <c r="AF7" i="73"/>
  <c r="AA7" i="73"/>
  <c r="Y7" i="73"/>
  <c r="X7" i="73"/>
  <c r="V7" i="73"/>
  <c r="U7" i="73"/>
  <c r="R7" i="73"/>
  <c r="Q7" i="73"/>
  <c r="N7" i="73"/>
  <c r="M7" i="73"/>
  <c r="K7" i="73"/>
  <c r="J7" i="73"/>
  <c r="I7" i="73"/>
  <c r="BH6" i="73"/>
  <c r="AQ6" i="73"/>
  <c r="AO6" i="73"/>
  <c r="AM6" i="73"/>
  <c r="AL6" i="73"/>
  <c r="AF6" i="73"/>
  <c r="AA6" i="73"/>
  <c r="Y6" i="73"/>
  <c r="X6" i="73"/>
  <c r="V6" i="73"/>
  <c r="U6" i="73"/>
  <c r="R6" i="73"/>
  <c r="Q6" i="73"/>
  <c r="N6" i="73"/>
  <c r="M6" i="73"/>
  <c r="K6" i="73"/>
  <c r="J6" i="73"/>
  <c r="I6" i="73"/>
  <c r="BM6" i="73" s="1"/>
  <c r="BH5" i="73"/>
  <c r="AQ5" i="73"/>
  <c r="AO5" i="73"/>
  <c r="AO10" i="73" s="1"/>
  <c r="AM5" i="73"/>
  <c r="AL5" i="73"/>
  <c r="AF5" i="73"/>
  <c r="AA5" i="73"/>
  <c r="AA10" i="73" s="1"/>
  <c r="Y5" i="73"/>
  <c r="Y10" i="73" s="1"/>
  <c r="X5" i="73"/>
  <c r="V5" i="73"/>
  <c r="U5" i="73"/>
  <c r="U10" i="73" s="1"/>
  <c r="R5" i="73"/>
  <c r="R10" i="73" s="1"/>
  <c r="Q5" i="73"/>
  <c r="N5" i="73"/>
  <c r="M5" i="73"/>
  <c r="K5" i="73"/>
  <c r="K10" i="73" s="1"/>
  <c r="J5" i="73"/>
  <c r="I5" i="73"/>
  <c r="E3" i="73"/>
  <c r="E2" i="73" s="1"/>
  <c r="I10" i="75" l="1"/>
  <c r="N5" i="78"/>
  <c r="E8" i="73"/>
  <c r="E5" i="73"/>
  <c r="V10" i="73"/>
  <c r="BM9" i="73"/>
  <c r="AM10" i="73"/>
  <c r="BM5" i="73"/>
  <c r="N10" i="73"/>
  <c r="AF10" i="73"/>
  <c r="AQ10" i="73"/>
  <c r="BM7" i="73"/>
  <c r="J10" i="73"/>
  <c r="Q10" i="73"/>
  <c r="X10" i="73"/>
  <c r="AL10" i="73"/>
  <c r="BH10" i="73"/>
  <c r="E6" i="73"/>
  <c r="E7" i="73"/>
  <c r="E9" i="73"/>
  <c r="J7" i="75"/>
  <c r="J9" i="75"/>
  <c r="O3" i="78"/>
  <c r="P3" i="78" s="1"/>
  <c r="M19" i="78" s="1"/>
  <c r="M18" i="78" s="1"/>
  <c r="N18" i="78" s="1"/>
  <c r="H6" i="75"/>
  <c r="H10" i="75" s="1"/>
  <c r="J10" i="75" s="1"/>
  <c r="K10" i="75" s="1"/>
  <c r="M10" i="75" s="1"/>
  <c r="J9" i="76"/>
  <c r="K7" i="76"/>
  <c r="L7" i="76" s="1"/>
  <c r="M10" i="73"/>
  <c r="I10" i="73"/>
  <c r="D37" i="12"/>
  <c r="E10" i="73" l="1"/>
  <c r="BM10" i="73"/>
  <c r="J6" i="75"/>
  <c r="K6" i="75" s="1"/>
  <c r="M6" i="75" s="1"/>
  <c r="K9" i="75"/>
  <c r="M9" i="75" s="1"/>
  <c r="K7" i="75"/>
  <c r="M7" i="75" s="1"/>
  <c r="K8" i="75"/>
  <c r="M8" i="75" s="1"/>
  <c r="K4" i="76"/>
  <c r="L4" i="76" s="1"/>
  <c r="K9" i="76"/>
  <c r="L9" i="76" s="1"/>
  <c r="K5" i="76"/>
  <c r="L5" i="76" s="1"/>
  <c r="K3" i="76"/>
  <c r="L3" i="76" s="1"/>
  <c r="K8" i="76"/>
  <c r="L8" i="76" s="1"/>
  <c r="K6" i="76"/>
  <c r="L6" i="76" s="1"/>
  <c r="K2" i="76"/>
  <c r="L2" i="76" s="1"/>
  <c r="S16" i="3" l="1"/>
  <c r="S14" i="3" s="1"/>
  <c r="O13" i="72"/>
  <c r="O14" i="72" s="1"/>
  <c r="O15" i="72" s="1"/>
  <c r="A1" i="72"/>
  <c r="N37" i="81" l="1"/>
  <c r="S16" i="71"/>
  <c r="S14" i="71" s="1"/>
  <c r="O48" i="80"/>
  <c r="O48" i="5"/>
  <c r="O37" i="12"/>
  <c r="R16" i="3"/>
  <c r="P10" i="3"/>
  <c r="O8" i="3"/>
  <c r="S18" i="71" l="1"/>
  <c r="R14" i="71"/>
  <c r="M48" i="80"/>
  <c r="Q48" i="80" s="1"/>
  <c r="O49" i="80"/>
  <c r="M49" i="80" s="1"/>
  <c r="L37" i="81"/>
  <c r="P37" i="81" s="1"/>
  <c r="N38" i="81"/>
  <c r="L38" i="81" s="1"/>
  <c r="R14" i="3"/>
  <c r="Q14" i="3" s="1"/>
  <c r="T14" i="3" s="1"/>
  <c r="O5" i="12"/>
  <c r="M5" i="12" s="1"/>
  <c r="R18" i="71" l="1"/>
  <c r="U14" i="71"/>
  <c r="R18" i="3"/>
  <c r="C37" i="12"/>
  <c r="D36" i="12"/>
  <c r="C36" i="12" s="1"/>
  <c r="Q36" i="12" s="1"/>
  <c r="C35" i="12"/>
  <c r="Q35" i="12" s="1"/>
  <c r="D23" i="12"/>
  <c r="D11" i="12"/>
  <c r="C11" i="12" s="1"/>
  <c r="G12" i="12"/>
  <c r="I13" i="12"/>
  <c r="I5" i="12"/>
  <c r="F5" i="12" s="1"/>
  <c r="I37" i="10"/>
  <c r="H37" i="10"/>
  <c r="AI7" i="10"/>
  <c r="O8" i="5"/>
  <c r="O7" i="5" s="1"/>
  <c r="I8" i="5"/>
  <c r="J41" i="10"/>
  <c r="D33" i="5"/>
  <c r="G14" i="5"/>
  <c r="G13" i="5" s="1"/>
  <c r="D48" i="5"/>
  <c r="D46" i="5"/>
  <c r="D45" i="5" s="1"/>
  <c r="D42" i="5"/>
  <c r="C42" i="5" s="1"/>
  <c r="D41" i="5"/>
  <c r="C41" i="5" s="1"/>
  <c r="D40" i="5"/>
  <c r="C40" i="5" s="1"/>
  <c r="D39" i="5"/>
  <c r="C39" i="5" s="1"/>
  <c r="D9" i="5"/>
  <c r="D6" i="5" s="1"/>
  <c r="C48" i="5" l="1"/>
  <c r="J37" i="10"/>
  <c r="G37" i="10" s="1"/>
  <c r="G41" i="10"/>
  <c r="D27" i="12"/>
  <c r="C27" i="12" s="1"/>
  <c r="C28" i="12"/>
  <c r="Q28" i="12" s="1"/>
  <c r="D22" i="12"/>
  <c r="C22" i="12" s="1"/>
  <c r="C23" i="12"/>
  <c r="C33" i="5"/>
  <c r="C6" i="5"/>
  <c r="C45" i="5"/>
  <c r="O5" i="5"/>
  <c r="C46" i="5"/>
  <c r="C9" i="5"/>
  <c r="O4" i="5" l="1"/>
  <c r="AJ45" i="10"/>
  <c r="AJ44" i="10" s="1"/>
  <c r="AK47" i="10" l="1"/>
  <c r="I18" i="5"/>
  <c r="AA45" i="10"/>
  <c r="F18" i="5" l="1"/>
  <c r="AA44" i="10"/>
  <c r="Z45" i="10"/>
  <c r="Y38" i="10"/>
  <c r="Q42" i="5"/>
  <c r="AK41" i="10" l="1"/>
  <c r="D8" i="10" l="1"/>
  <c r="D5" i="10" s="1"/>
  <c r="C5" i="10" l="1"/>
  <c r="I37" i="12"/>
  <c r="I15" i="12"/>
  <c r="I14" i="12"/>
  <c r="I9" i="5"/>
  <c r="I6" i="5" s="1"/>
  <c r="I17" i="5"/>
  <c r="F17" i="5" s="1"/>
  <c r="I16" i="5"/>
  <c r="F16" i="5" s="1"/>
  <c r="I15" i="5"/>
  <c r="M37" i="12" l="1"/>
  <c r="M48" i="5"/>
  <c r="I12" i="12"/>
  <c r="AI4" i="10"/>
  <c r="J48" i="10"/>
  <c r="F6" i="5"/>
  <c r="F15" i="5"/>
  <c r="I14" i="5"/>
  <c r="I7" i="5"/>
  <c r="F9" i="5"/>
  <c r="I4" i="12"/>
  <c r="N17" i="10" l="1"/>
  <c r="N17" i="82"/>
  <c r="K17" i="82" s="1"/>
  <c r="AK17" i="82" s="1"/>
  <c r="Q48" i="5"/>
  <c r="K17" i="10"/>
  <c r="I38" i="12"/>
  <c r="F14" i="5"/>
  <c r="I13" i="5"/>
  <c r="I5" i="5"/>
  <c r="I4" i="5" s="1"/>
  <c r="V76" i="46"/>
  <c r="D23" i="80" l="1"/>
  <c r="C23" i="80" s="1"/>
  <c r="Q23" i="80" s="1"/>
  <c r="D9" i="81"/>
  <c r="H22" i="82"/>
  <c r="H22" i="10"/>
  <c r="G22" i="10" s="1"/>
  <c r="D23" i="5"/>
  <c r="C23" i="5" s="1"/>
  <c r="D9" i="12"/>
  <c r="F13" i="5"/>
  <c r="S96" i="46"/>
  <c r="Q23" i="48"/>
  <c r="Q61" i="48"/>
  <c r="Q63" i="48"/>
  <c r="Q7" i="48"/>
  <c r="C9" i="81" l="1"/>
  <c r="P9" i="81" s="1"/>
  <c r="D8" i="81"/>
  <c r="C8" i="81" s="1"/>
  <c r="P8" i="81" s="1"/>
  <c r="G22" i="82"/>
  <c r="H48" i="82"/>
  <c r="C9" i="12"/>
  <c r="D8" i="12"/>
  <c r="C8" i="12" s="1"/>
  <c r="Q13" i="46"/>
  <c r="P13" i="46"/>
  <c r="G48" i="82" l="1"/>
  <c r="AK22" i="82"/>
  <c r="P15" i="46"/>
  <c r="S17" i="48"/>
  <c r="S20" i="48"/>
  <c r="Y40" i="10" l="1"/>
  <c r="Y39" i="10"/>
  <c r="L10" i="69" l="1"/>
  <c r="L11" i="69"/>
  <c r="L31" i="69"/>
  <c r="E32" i="69"/>
  <c r="L32" i="69"/>
  <c r="E33" i="69"/>
  <c r="L33" i="69"/>
  <c r="E34" i="69"/>
  <c r="L34" i="69"/>
  <c r="E35" i="69"/>
  <c r="L35" i="69"/>
  <c r="E36" i="69"/>
  <c r="L36" i="69"/>
  <c r="E37" i="69"/>
  <c r="L37" i="69"/>
  <c r="E38" i="69"/>
  <c r="L38" i="69"/>
  <c r="E39" i="69"/>
  <c r="L39" i="69"/>
  <c r="L12" i="69" l="1"/>
  <c r="L14" i="69" s="1"/>
  <c r="P11" i="3" s="1"/>
  <c r="E31" i="69"/>
  <c r="F37" i="69"/>
  <c r="M32" i="69"/>
  <c r="M36" i="69"/>
  <c r="J16" i="5" s="1"/>
  <c r="M39" i="69"/>
  <c r="J37" i="12" s="1"/>
  <c r="F33" i="69" l="1"/>
  <c r="M38" i="69"/>
  <c r="J5" i="12" s="1"/>
  <c r="M34" i="69"/>
  <c r="W36" i="10" s="1"/>
  <c r="F39" i="69"/>
  <c r="F35" i="69"/>
  <c r="F31" i="69"/>
  <c r="J8" i="5"/>
  <c r="J33" i="5"/>
  <c r="V32" i="10"/>
  <c r="M15" i="10"/>
  <c r="J14" i="12"/>
  <c r="M35" i="69"/>
  <c r="M31" i="69"/>
  <c r="F36" i="69"/>
  <c r="F32" i="69"/>
  <c r="J24" i="12"/>
  <c r="Q24" i="12" s="1"/>
  <c r="M37" i="69"/>
  <c r="M33" i="69"/>
  <c r="F38" i="69"/>
  <c r="F34" i="69"/>
  <c r="J23" i="12"/>
  <c r="Q23" i="12" s="1"/>
  <c r="J15" i="12" l="1"/>
  <c r="T17" i="10"/>
  <c r="J18" i="5"/>
  <c r="J15" i="5"/>
  <c r="J37" i="5"/>
  <c r="X36" i="10"/>
  <c r="U36" i="10" s="1"/>
  <c r="J7" i="5"/>
  <c r="M13" i="10"/>
  <c r="K15" i="10"/>
  <c r="J13" i="12"/>
  <c r="J12" i="12" s="1"/>
  <c r="J25" i="12"/>
  <c r="Q25" i="12" s="1"/>
  <c r="F30" i="66"/>
  <c r="I15" i="65"/>
  <c r="G47" i="80" l="1"/>
  <c r="G30" i="81"/>
  <c r="AC46" i="82"/>
  <c r="G30" i="12"/>
  <c r="G47" i="5"/>
  <c r="F47" i="5" s="1"/>
  <c r="J14" i="5"/>
  <c r="Q18" i="5"/>
  <c r="Q17" i="10"/>
  <c r="AK17" i="10" s="1"/>
  <c r="T13" i="10"/>
  <c r="M12" i="10"/>
  <c r="M4" i="10"/>
  <c r="AC46" i="10"/>
  <c r="Z46" i="10" s="1"/>
  <c r="F565" i="65"/>
  <c r="F558" i="65"/>
  <c r="F557" i="65"/>
  <c r="F555" i="65"/>
  <c r="F554" i="65"/>
  <c r="F551" i="65"/>
  <c r="F550" i="65"/>
  <c r="J8" i="65" s="1"/>
  <c r="F549" i="65"/>
  <c r="F546" i="65"/>
  <c r="F533" i="65"/>
  <c r="G27" i="81" l="1"/>
  <c r="F30" i="81"/>
  <c r="P30" i="81" s="1"/>
  <c r="Z46" i="82"/>
  <c r="AC44" i="82"/>
  <c r="AC48" i="82" s="1"/>
  <c r="F47" i="80"/>
  <c r="Q47" i="80" s="1"/>
  <c r="G45" i="80"/>
  <c r="G27" i="12"/>
  <c r="F30" i="12"/>
  <c r="Q30" i="12" s="1"/>
  <c r="T8" i="3"/>
  <c r="O7" i="3"/>
  <c r="T4" i="10"/>
  <c r="Q13" i="10"/>
  <c r="Q12" i="10" s="1"/>
  <c r="T12" i="10"/>
  <c r="J13" i="5"/>
  <c r="J5" i="5"/>
  <c r="J4" i="5" s="1"/>
  <c r="AA48" i="10"/>
  <c r="F553" i="65"/>
  <c r="F544" i="65"/>
  <c r="F532" i="65"/>
  <c r="F531" i="65"/>
  <c r="F530" i="65"/>
  <c r="F529" i="65"/>
  <c r="F528" i="65"/>
  <c r="F527" i="65"/>
  <c r="F526" i="65"/>
  <c r="F525" i="65"/>
  <c r="F523" i="65"/>
  <c r="F522" i="65"/>
  <c r="F521" i="65"/>
  <c r="F520" i="65"/>
  <c r="F519" i="65"/>
  <c r="F518" i="65"/>
  <c r="J3" i="65" s="1"/>
  <c r="F517" i="65"/>
  <c r="F45" i="80" l="1"/>
  <c r="G49" i="80"/>
  <c r="AK46" i="82"/>
  <c r="AK44" i="82" s="1"/>
  <c r="Z44" i="82"/>
  <c r="Z48" i="82" s="1"/>
  <c r="F27" i="81"/>
  <c r="G38" i="81"/>
  <c r="P7" i="3"/>
  <c r="T7" i="3" s="1"/>
  <c r="T10" i="3"/>
  <c r="F543" i="65"/>
  <c r="O18" i="3"/>
  <c r="F515" i="65"/>
  <c r="F498" i="65"/>
  <c r="F490" i="65" s="1"/>
  <c r="F489" i="65"/>
  <c r="F467" i="65" s="1"/>
  <c r="P27" i="81" l="1"/>
  <c r="F38" i="81"/>
  <c r="Q45" i="80"/>
  <c r="F49" i="80"/>
  <c r="F407" i="65"/>
  <c r="F373" i="65"/>
  <c r="F345" i="65" l="1"/>
  <c r="F316" i="65"/>
  <c r="F306" i="65" l="1"/>
  <c r="F305" i="65"/>
  <c r="F303" i="65"/>
  <c r="J6" i="65" s="1"/>
  <c r="F302" i="65"/>
  <c r="F300" i="65"/>
  <c r="F299" i="65"/>
  <c r="F298" i="65"/>
  <c r="F297" i="65"/>
  <c r="J5" i="65" s="1"/>
  <c r="F296" i="65"/>
  <c r="F294" i="65"/>
  <c r="F293" i="65"/>
  <c r="F292" i="65"/>
  <c r="F287" i="65"/>
  <c r="F284" i="65"/>
  <c r="F276" i="65"/>
  <c r="J2" i="65" l="1"/>
  <c r="J7" i="65"/>
  <c r="F165" i="65"/>
  <c r="F141" i="65"/>
  <c r="F140" i="65" s="1"/>
  <c r="AJ48" i="10" l="1"/>
  <c r="F137" i="65"/>
  <c r="F70" i="65"/>
  <c r="J4" i="65" l="1"/>
  <c r="F104" i="65"/>
  <c r="F69" i="65" s="1"/>
  <c r="AO7" i="59"/>
  <c r="I7" i="59"/>
  <c r="BH8" i="59"/>
  <c r="BH7" i="59"/>
  <c r="J22" i="64"/>
  <c r="AG10" i="10" l="1"/>
  <c r="AG10" i="82"/>
  <c r="AE10" i="10"/>
  <c r="AE9" i="10" s="1"/>
  <c r="AG9" i="10"/>
  <c r="J9" i="65"/>
  <c r="K4" i="65" s="1"/>
  <c r="L4" i="65" s="1"/>
  <c r="I30" i="64"/>
  <c r="H27" i="64"/>
  <c r="H11" i="64"/>
  <c r="AE10" i="82" l="1"/>
  <c r="AE9" i="82" s="1"/>
  <c r="AG9" i="82"/>
  <c r="Y42" i="82"/>
  <c r="D26" i="81"/>
  <c r="C26" i="81" s="1"/>
  <c r="P26" i="81" s="1"/>
  <c r="D43" i="80"/>
  <c r="D26" i="12"/>
  <c r="C26" i="12" s="1"/>
  <c r="Q26" i="12" s="1"/>
  <c r="D43" i="5"/>
  <c r="Y42" i="10"/>
  <c r="Y37" i="10" s="1"/>
  <c r="H8" i="64"/>
  <c r="H26" i="64"/>
  <c r="H22" i="64" s="1"/>
  <c r="J30" i="64" s="1"/>
  <c r="K9" i="65"/>
  <c r="L9" i="65" s="1"/>
  <c r="K8" i="65"/>
  <c r="L8" i="65" s="1"/>
  <c r="K3" i="65"/>
  <c r="L3" i="65" s="1"/>
  <c r="K5" i="65"/>
  <c r="L5" i="65" s="1"/>
  <c r="K6" i="65"/>
  <c r="L6" i="65" s="1"/>
  <c r="K7" i="65"/>
  <c r="L7" i="65" s="1"/>
  <c r="K2" i="65"/>
  <c r="L2" i="65" s="1"/>
  <c r="C26" i="64"/>
  <c r="C25" i="64"/>
  <c r="D18" i="64"/>
  <c r="C18" i="64"/>
  <c r="D15" i="64"/>
  <c r="C15" i="64"/>
  <c r="D12" i="64"/>
  <c r="C12" i="64"/>
  <c r="D8" i="64"/>
  <c r="D6" i="64"/>
  <c r="D26" i="64" s="1"/>
  <c r="C5" i="64"/>
  <c r="C43" i="80" l="1"/>
  <c r="Q43" i="80" s="1"/>
  <c r="D38" i="80"/>
  <c r="C38" i="80" s="1"/>
  <c r="Q38" i="80" s="1"/>
  <c r="AK42" i="82"/>
  <c r="Y37" i="82"/>
  <c r="D24" i="64"/>
  <c r="C43" i="5"/>
  <c r="D38" i="5"/>
  <c r="C38" i="5" s="1"/>
  <c r="D5" i="64"/>
  <c r="D23" i="64" s="1"/>
  <c r="C24" i="64"/>
  <c r="C23" i="64"/>
  <c r="D25" i="64"/>
  <c r="Y48" i="82" l="1"/>
  <c r="AK37" i="82"/>
  <c r="D44" i="61"/>
  <c r="C44" i="61"/>
  <c r="S168" i="46" l="1"/>
  <c r="S167" i="46"/>
  <c r="U60" i="46"/>
  <c r="U59" i="46"/>
  <c r="W59" i="46" s="1"/>
  <c r="I9" i="61"/>
  <c r="I8" i="61"/>
  <c r="I7" i="61"/>
  <c r="I6" i="61"/>
  <c r="H9" i="61"/>
  <c r="H8" i="61"/>
  <c r="H7" i="61"/>
  <c r="D60" i="61"/>
  <c r="D56" i="61"/>
  <c r="C57" i="61"/>
  <c r="J9" i="61" l="1"/>
  <c r="J8" i="61"/>
  <c r="J7" i="61"/>
  <c r="I10" i="61"/>
  <c r="D52" i="61"/>
  <c r="C48" i="61" l="1"/>
  <c r="D48" i="61"/>
  <c r="D40" i="61" l="1"/>
  <c r="D36" i="61" l="1"/>
  <c r="C37" i="61"/>
  <c r="C36" i="61" l="1"/>
  <c r="H6" i="61"/>
  <c r="D32" i="61"/>
  <c r="C32" i="61"/>
  <c r="D28" i="61"/>
  <c r="J6" i="61" l="1"/>
  <c r="H10" i="61"/>
  <c r="J10" i="61" s="1"/>
  <c r="C22" i="61"/>
  <c r="K10" i="61" l="1"/>
  <c r="M10" i="61" s="1"/>
  <c r="K7" i="61"/>
  <c r="M7" i="61" s="1"/>
  <c r="K8" i="61"/>
  <c r="M8" i="61" s="1"/>
  <c r="K9" i="61"/>
  <c r="M9" i="61" s="1"/>
  <c r="K6" i="61"/>
  <c r="M6" i="61" s="1"/>
  <c r="D25" i="61"/>
  <c r="D22" i="61"/>
  <c r="N16" i="82" l="1"/>
  <c r="D15" i="81"/>
  <c r="C15" i="81" s="1"/>
  <c r="P15" i="81" s="1"/>
  <c r="D17" i="80"/>
  <c r="C17" i="80" s="1"/>
  <c r="Q17" i="80" s="1"/>
  <c r="L14" i="82"/>
  <c r="D15" i="80"/>
  <c r="R30" i="82"/>
  <c r="D31" i="80"/>
  <c r="C31" i="80" s="1"/>
  <c r="Q31" i="80" s="1"/>
  <c r="D19" i="81"/>
  <c r="D31" i="5"/>
  <c r="C31" i="5" s="1"/>
  <c r="D19" i="12"/>
  <c r="D15" i="12"/>
  <c r="C15" i="12" s="1"/>
  <c r="D17" i="5"/>
  <c r="C17" i="5" s="1"/>
  <c r="D15" i="5"/>
  <c r="L14" i="10"/>
  <c r="N16" i="10"/>
  <c r="R30" i="10"/>
  <c r="R27" i="10" s="1"/>
  <c r="D14" i="61"/>
  <c r="C14" i="61"/>
  <c r="C15" i="80" l="1"/>
  <c r="Q15" i="80" s="1"/>
  <c r="D14" i="80"/>
  <c r="K16" i="82"/>
  <c r="AK16" i="82" s="1"/>
  <c r="N13" i="82"/>
  <c r="C19" i="81"/>
  <c r="P19" i="81" s="1"/>
  <c r="D18" i="81"/>
  <c r="C18" i="81" s="1"/>
  <c r="P18" i="81" s="1"/>
  <c r="R27" i="82"/>
  <c r="Q30" i="82"/>
  <c r="AK30" i="82" s="1"/>
  <c r="K14" i="82"/>
  <c r="AK14" i="82" s="1"/>
  <c r="L13" i="82"/>
  <c r="C15" i="5"/>
  <c r="D14" i="5"/>
  <c r="L13" i="10"/>
  <c r="L12" i="10" s="1"/>
  <c r="K14" i="10"/>
  <c r="D18" i="12"/>
  <c r="C18" i="12" s="1"/>
  <c r="Q18" i="12" s="1"/>
  <c r="C19" i="12"/>
  <c r="Q19" i="12" s="1"/>
  <c r="Q30" i="10"/>
  <c r="Q27" i="10"/>
  <c r="N13" i="10"/>
  <c r="N4" i="10" s="1"/>
  <c r="K16" i="10"/>
  <c r="C5" i="61"/>
  <c r="L12" i="82" l="1"/>
  <c r="K13" i="82"/>
  <c r="N4" i="82"/>
  <c r="N12" i="82"/>
  <c r="D13" i="80"/>
  <c r="C14" i="80"/>
  <c r="Q27" i="82"/>
  <c r="Q48" i="82" s="1"/>
  <c r="R48" i="82"/>
  <c r="C14" i="5"/>
  <c r="D13" i="5"/>
  <c r="K13" i="10"/>
  <c r="K12" i="10" s="1"/>
  <c r="N12" i="10"/>
  <c r="C60" i="61"/>
  <c r="C56" i="61"/>
  <c r="C52" i="61"/>
  <c r="C40" i="61"/>
  <c r="D17" i="61"/>
  <c r="D11" i="61" s="1"/>
  <c r="C17" i="61"/>
  <c r="C11" i="61"/>
  <c r="C8" i="61"/>
  <c r="C13" i="80" l="1"/>
  <c r="Q14" i="80"/>
  <c r="Q13" i="80" s="1"/>
  <c r="K12" i="82"/>
  <c r="AK13" i="82"/>
  <c r="AK12" i="82" s="1"/>
  <c r="N48" i="82"/>
  <c r="N3" i="82"/>
  <c r="C13" i="5"/>
  <c r="Q14" i="5"/>
  <c r="Q13" i="5" s="1"/>
  <c r="J7" i="59"/>
  <c r="Y8" i="59" l="1"/>
  <c r="AO9" i="59"/>
  <c r="AO8" i="59"/>
  <c r="AO6" i="59"/>
  <c r="AO5" i="59"/>
  <c r="I5" i="59" l="1"/>
  <c r="I6" i="59"/>
  <c r="I8" i="59"/>
  <c r="I9" i="59"/>
  <c r="M9" i="59"/>
  <c r="M8" i="59"/>
  <c r="M7" i="59"/>
  <c r="M6" i="59"/>
  <c r="M5" i="59"/>
  <c r="K9" i="59"/>
  <c r="K8" i="59"/>
  <c r="K7" i="59"/>
  <c r="K6" i="59"/>
  <c r="K5" i="59"/>
  <c r="J6" i="59"/>
  <c r="J5" i="59"/>
  <c r="BH9" i="59"/>
  <c r="BH6" i="59"/>
  <c r="BH5" i="59"/>
  <c r="AQ5" i="59"/>
  <c r="AQ9" i="59"/>
  <c r="AQ8" i="59"/>
  <c r="AQ7" i="59"/>
  <c r="AQ6" i="59"/>
  <c r="AM5" i="59"/>
  <c r="AM9" i="59"/>
  <c r="AM8" i="59"/>
  <c r="AM7" i="59"/>
  <c r="AM6" i="59"/>
  <c r="AL5" i="59"/>
  <c r="AL9" i="59"/>
  <c r="AL8" i="59"/>
  <c r="AL7" i="59"/>
  <c r="O10" i="82" s="1"/>
  <c r="O9" i="82" s="1"/>
  <c r="AL6" i="59"/>
  <c r="AF5" i="59"/>
  <c r="AF9" i="59"/>
  <c r="AF8" i="59"/>
  <c r="AF7" i="59"/>
  <c r="AF6" i="59"/>
  <c r="AA5" i="59"/>
  <c r="AA9" i="59"/>
  <c r="AA8" i="59"/>
  <c r="F29" i="10" s="1"/>
  <c r="F27" i="10" s="1"/>
  <c r="AA7" i="59"/>
  <c r="AA6" i="59"/>
  <c r="Y5" i="59"/>
  <c r="Y9" i="59"/>
  <c r="Y7" i="59"/>
  <c r="Y6" i="59"/>
  <c r="X5" i="59"/>
  <c r="X9" i="59"/>
  <c r="X8" i="59"/>
  <c r="X7" i="59"/>
  <c r="X6" i="59"/>
  <c r="V5" i="59"/>
  <c r="V9" i="59"/>
  <c r="V8" i="59"/>
  <c r="V7" i="59"/>
  <c r="V6" i="59"/>
  <c r="U5" i="59"/>
  <c r="U9" i="59"/>
  <c r="U8" i="59"/>
  <c r="U7" i="59"/>
  <c r="U6" i="59"/>
  <c r="R5" i="59"/>
  <c r="R9" i="59"/>
  <c r="R8" i="59"/>
  <c r="R7" i="59"/>
  <c r="R6" i="59"/>
  <c r="Q5" i="59"/>
  <c r="Q9" i="59"/>
  <c r="Q8" i="59"/>
  <c r="Q7" i="59"/>
  <c r="Q6" i="59"/>
  <c r="N5" i="59"/>
  <c r="N9" i="59"/>
  <c r="N8" i="59"/>
  <c r="N7" i="59"/>
  <c r="N6" i="59"/>
  <c r="J9" i="59"/>
  <c r="J8" i="59"/>
  <c r="D7" i="81" l="1"/>
  <c r="C7" i="81" s="1"/>
  <c r="P7" i="81" s="1"/>
  <c r="F7" i="82"/>
  <c r="L29" i="10"/>
  <c r="L29" i="82"/>
  <c r="AG36" i="10"/>
  <c r="AG36" i="82"/>
  <c r="D29" i="82"/>
  <c r="D5" i="81"/>
  <c r="D7" i="82"/>
  <c r="L7" i="82"/>
  <c r="D13" i="81"/>
  <c r="O36" i="10"/>
  <c r="O31" i="10" s="1"/>
  <c r="O36" i="82"/>
  <c r="O31" i="82" s="1"/>
  <c r="AG7" i="82"/>
  <c r="E7" i="82"/>
  <c r="D6" i="81"/>
  <c r="C6" i="81" s="1"/>
  <c r="P6" i="81" s="1"/>
  <c r="F10" i="82"/>
  <c r="F9" i="82" s="1"/>
  <c r="F36" i="82"/>
  <c r="F31" i="82" s="1"/>
  <c r="L10" i="10"/>
  <c r="L10" i="82"/>
  <c r="L36" i="10"/>
  <c r="L36" i="82"/>
  <c r="O7" i="82"/>
  <c r="D16" i="81"/>
  <c r="C16" i="81" s="1"/>
  <c r="P16" i="81" s="1"/>
  <c r="D10" i="10"/>
  <c r="D9" i="10" s="1"/>
  <c r="D10" i="82"/>
  <c r="D36" i="82"/>
  <c r="F29" i="82"/>
  <c r="F27" i="82" s="1"/>
  <c r="D29" i="10"/>
  <c r="D27" i="10" s="1"/>
  <c r="O10" i="10"/>
  <c r="O9" i="10" s="1"/>
  <c r="D5" i="12"/>
  <c r="D13" i="12"/>
  <c r="L7" i="10"/>
  <c r="L4" i="10" s="1"/>
  <c r="AG7" i="10"/>
  <c r="C27" i="10"/>
  <c r="F36" i="10"/>
  <c r="O7" i="10"/>
  <c r="D16" i="12"/>
  <c r="C16" i="12" s="1"/>
  <c r="D7" i="12"/>
  <c r="C7" i="12" s="1"/>
  <c r="F7" i="10"/>
  <c r="AG31" i="10"/>
  <c r="AE36" i="10"/>
  <c r="D6" i="12"/>
  <c r="C6" i="12" s="1"/>
  <c r="E7" i="10"/>
  <c r="D7" i="10"/>
  <c r="F10" i="10"/>
  <c r="F9" i="10" s="1"/>
  <c r="K36" i="10"/>
  <c r="L31" i="10"/>
  <c r="D36" i="10"/>
  <c r="L27" i="10"/>
  <c r="K27" i="10" s="1"/>
  <c r="L9" i="10"/>
  <c r="K29" i="10"/>
  <c r="E7" i="59"/>
  <c r="E8" i="59"/>
  <c r="M10" i="59"/>
  <c r="K10" i="59"/>
  <c r="J10" i="59"/>
  <c r="D11" i="5" l="1"/>
  <c r="D11" i="80"/>
  <c r="D30" i="5"/>
  <c r="D30" i="80"/>
  <c r="K10" i="10"/>
  <c r="K9" i="10" s="1"/>
  <c r="C36" i="82"/>
  <c r="D31" i="82"/>
  <c r="C31" i="82" s="1"/>
  <c r="O6" i="82"/>
  <c r="O4" i="82"/>
  <c r="E6" i="82"/>
  <c r="E4" i="82"/>
  <c r="AG6" i="82"/>
  <c r="AG4" i="82"/>
  <c r="AE7" i="82"/>
  <c r="AE6" i="82" s="1"/>
  <c r="K7" i="82"/>
  <c r="K6" i="82" s="1"/>
  <c r="L6" i="82"/>
  <c r="L4" i="82"/>
  <c r="C5" i="81"/>
  <c r="P5" i="81" s="1"/>
  <c r="D4" i="81"/>
  <c r="C4" i="81" s="1"/>
  <c r="P4" i="81" s="1"/>
  <c r="AE36" i="82"/>
  <c r="AG31" i="82"/>
  <c r="AE31" i="82" s="1"/>
  <c r="K29" i="82"/>
  <c r="L27" i="82"/>
  <c r="K27" i="82" s="1"/>
  <c r="F6" i="82"/>
  <c r="F4" i="82"/>
  <c r="C10" i="82"/>
  <c r="D9" i="82"/>
  <c r="L31" i="82"/>
  <c r="K31" i="82" s="1"/>
  <c r="K36" i="82"/>
  <c r="K10" i="82"/>
  <c r="K9" i="82" s="1"/>
  <c r="L9" i="82"/>
  <c r="C13" i="81"/>
  <c r="P13" i="81" s="1"/>
  <c r="D12" i="81"/>
  <c r="C12" i="81" s="1"/>
  <c r="P12" i="81" s="1"/>
  <c r="C7" i="82"/>
  <c r="D4" i="82"/>
  <c r="D6" i="82"/>
  <c r="D27" i="82"/>
  <c r="C27" i="82" s="1"/>
  <c r="AK27" i="82" s="1"/>
  <c r="C29" i="82"/>
  <c r="AK29" i="82" s="1"/>
  <c r="C36" i="10"/>
  <c r="AK36" i="10" s="1"/>
  <c r="D31" i="10"/>
  <c r="C5" i="12"/>
  <c r="Q5" i="12" s="1"/>
  <c r="D4" i="12"/>
  <c r="C4" i="12" s="1"/>
  <c r="O4" i="10"/>
  <c r="O6" i="10"/>
  <c r="C13" i="12"/>
  <c r="D12" i="12"/>
  <c r="C12" i="12" s="1"/>
  <c r="C11" i="5"/>
  <c r="C10" i="5" s="1"/>
  <c r="D10" i="5"/>
  <c r="E6" i="10"/>
  <c r="E4" i="10"/>
  <c r="F4" i="10"/>
  <c r="F3" i="10" s="1"/>
  <c r="F6" i="10"/>
  <c r="D6" i="10"/>
  <c r="D4" i="10"/>
  <c r="C30" i="5"/>
  <c r="D28" i="5"/>
  <c r="C28" i="5" s="1"/>
  <c r="Q28" i="5" s="1"/>
  <c r="L6" i="10"/>
  <c r="AK27" i="10"/>
  <c r="AG4" i="10"/>
  <c r="AG6" i="10"/>
  <c r="L3" i="10"/>
  <c r="I10" i="59"/>
  <c r="C4" i="82" l="1"/>
  <c r="AK7" i="82"/>
  <c r="AK6" i="82" s="1"/>
  <c r="C6" i="82"/>
  <c r="C9" i="82"/>
  <c r="AK10" i="82"/>
  <c r="AK9" i="82" s="1"/>
  <c r="AK36" i="82"/>
  <c r="C30" i="80"/>
  <c r="Q30" i="80" s="1"/>
  <c r="D28" i="80"/>
  <c r="C28" i="80" s="1"/>
  <c r="Q28" i="80" s="1"/>
  <c r="C11" i="80"/>
  <c r="D10" i="80"/>
  <c r="D48" i="82"/>
  <c r="D3" i="82"/>
  <c r="F48" i="82"/>
  <c r="F3" i="82"/>
  <c r="L48" i="82"/>
  <c r="L3" i="82"/>
  <c r="K4" i="82"/>
  <c r="AG3" i="82"/>
  <c r="AG48" i="82"/>
  <c r="AE48" i="82" s="1"/>
  <c r="AE4" i="82"/>
  <c r="AE3" i="82" s="1"/>
  <c r="E3" i="82"/>
  <c r="E48" i="82"/>
  <c r="O48" i="82"/>
  <c r="O3" i="82"/>
  <c r="AK31" i="82"/>
  <c r="AG3" i="10"/>
  <c r="AE4" i="10"/>
  <c r="AG48" i="10"/>
  <c r="O3" i="10"/>
  <c r="O48" i="10"/>
  <c r="D48" i="10"/>
  <c r="D3" i="10"/>
  <c r="E3" i="10"/>
  <c r="E48" i="10"/>
  <c r="L48" i="10"/>
  <c r="E3" i="59"/>
  <c r="K48" i="82" l="1"/>
  <c r="K3" i="82"/>
  <c r="Q11" i="80"/>
  <c r="Q10" i="80" s="1"/>
  <c r="C10" i="80"/>
  <c r="C48" i="82"/>
  <c r="C3" i="82"/>
  <c r="AK4" i="82"/>
  <c r="N10" i="59"/>
  <c r="R10" i="59"/>
  <c r="AM10" i="59"/>
  <c r="Y10" i="59"/>
  <c r="AA10" i="59"/>
  <c r="U10" i="59"/>
  <c r="V10" i="59"/>
  <c r="AL10" i="59"/>
  <c r="BH10" i="59"/>
  <c r="AF10" i="59"/>
  <c r="AO10" i="59"/>
  <c r="AQ10" i="59"/>
  <c r="Q10" i="59"/>
  <c r="X10" i="59"/>
  <c r="E9" i="59"/>
  <c r="E5" i="59"/>
  <c r="BM7" i="59"/>
  <c r="BM9" i="59"/>
  <c r="BM5" i="59"/>
  <c r="E6" i="59"/>
  <c r="BM6" i="59"/>
  <c r="BM8" i="59"/>
  <c r="D8" i="80" l="1"/>
  <c r="AK48" i="82"/>
  <c r="AK52" i="82" s="1"/>
  <c r="AK3" i="82"/>
  <c r="D37" i="5"/>
  <c r="D37" i="80"/>
  <c r="D8" i="5"/>
  <c r="C37" i="5"/>
  <c r="D32" i="5"/>
  <c r="C32" i="5" s="1"/>
  <c r="E10" i="59"/>
  <c r="BM10" i="59"/>
  <c r="E2" i="59"/>
  <c r="C37" i="80" l="1"/>
  <c r="Q37" i="80" s="1"/>
  <c r="D32" i="80"/>
  <c r="C32" i="80" s="1"/>
  <c r="Q32" i="80" s="1"/>
  <c r="C8" i="80"/>
  <c r="D7" i="80"/>
  <c r="D5" i="80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D49" i="80" l="1"/>
  <c r="C49" i="80" s="1"/>
  <c r="Q49" i="80" s="1"/>
  <c r="D4" i="80"/>
  <c r="C5" i="80"/>
  <c r="C7" i="80"/>
  <c r="Q8" i="80"/>
  <c r="Q7" i="80" s="1"/>
  <c r="S18" i="48"/>
  <c r="R18" i="48"/>
  <c r="Q9" i="48"/>
  <c r="Q8" i="48"/>
  <c r="Q3" i="48" s="1"/>
  <c r="C4" i="80" l="1"/>
  <c r="Q5" i="80"/>
  <c r="Q4" i="80" s="1"/>
  <c r="S2" i="48"/>
  <c r="T1" i="48" s="1"/>
  <c r="T2" i="48" s="1"/>
  <c r="P39" i="46"/>
  <c r="D34" i="12" l="1"/>
  <c r="C34" i="12" s="1"/>
  <c r="Q34" i="12" s="1"/>
  <c r="D34" i="81"/>
  <c r="S3" i="48"/>
  <c r="U1" i="48"/>
  <c r="S15" i="48"/>
  <c r="D32" i="12"/>
  <c r="AB63" i="46"/>
  <c r="U2" i="48"/>
  <c r="R15" i="48" s="1"/>
  <c r="AB64" i="46"/>
  <c r="AB69" i="46"/>
  <c r="AB68" i="46"/>
  <c r="AB67" i="46"/>
  <c r="AB66" i="46"/>
  <c r="C34" i="81" l="1"/>
  <c r="P34" i="81" s="1"/>
  <c r="D32" i="81"/>
  <c r="C32" i="12"/>
  <c r="Q32" i="12" s="1"/>
  <c r="D38" i="12"/>
  <c r="R14" i="48"/>
  <c r="S14" i="48"/>
  <c r="AB65" i="46"/>
  <c r="D5" i="3" l="1"/>
  <c r="D5" i="71"/>
  <c r="C32" i="81"/>
  <c r="D38" i="81"/>
  <c r="C5" i="3"/>
  <c r="T5" i="3" s="1"/>
  <c r="D4" i="3"/>
  <c r="T14" i="48"/>
  <c r="AB62" i="46"/>
  <c r="M9" i="46"/>
  <c r="P303" i="46"/>
  <c r="O303" i="46"/>
  <c r="P302" i="46"/>
  <c r="O302" i="46"/>
  <c r="P301" i="46"/>
  <c r="O301" i="46"/>
  <c r="P300" i="46"/>
  <c r="O300" i="46"/>
  <c r="P299" i="46"/>
  <c r="O299" i="46"/>
  <c r="P298" i="46"/>
  <c r="O298" i="46"/>
  <c r="P297" i="46"/>
  <c r="O297" i="46"/>
  <c r="P296" i="46"/>
  <c r="O296" i="46"/>
  <c r="P295" i="46"/>
  <c r="O295" i="46"/>
  <c r="P294" i="46"/>
  <c r="O294" i="46"/>
  <c r="P293" i="46"/>
  <c r="O293" i="46"/>
  <c r="P292" i="46"/>
  <c r="O292" i="46"/>
  <c r="P291" i="46"/>
  <c r="O291" i="46"/>
  <c r="P290" i="46"/>
  <c r="O290" i="46"/>
  <c r="P289" i="46"/>
  <c r="O289" i="46"/>
  <c r="P288" i="46"/>
  <c r="O288" i="46"/>
  <c r="P287" i="46"/>
  <c r="O287" i="46"/>
  <c r="P286" i="46"/>
  <c r="O286" i="46"/>
  <c r="P285" i="46"/>
  <c r="O285" i="46"/>
  <c r="P284" i="46"/>
  <c r="O284" i="46"/>
  <c r="P283" i="46"/>
  <c r="O283" i="46"/>
  <c r="P282" i="46"/>
  <c r="O282" i="46"/>
  <c r="P281" i="46"/>
  <c r="O281" i="46"/>
  <c r="P280" i="46"/>
  <c r="O280" i="46"/>
  <c r="P279" i="46"/>
  <c r="O279" i="46"/>
  <c r="P278" i="46"/>
  <c r="O278" i="46"/>
  <c r="P277" i="46"/>
  <c r="O277" i="46"/>
  <c r="P276" i="46"/>
  <c r="O276" i="46"/>
  <c r="P275" i="46"/>
  <c r="O275" i="46"/>
  <c r="P274" i="46"/>
  <c r="O274" i="46"/>
  <c r="P273" i="46"/>
  <c r="O273" i="46"/>
  <c r="P272" i="46"/>
  <c r="O272" i="46"/>
  <c r="P271" i="46"/>
  <c r="O271" i="46"/>
  <c r="P270" i="46"/>
  <c r="O270" i="46"/>
  <c r="P269" i="46"/>
  <c r="O269" i="46"/>
  <c r="P268" i="46"/>
  <c r="O268" i="46"/>
  <c r="P267" i="46"/>
  <c r="O267" i="46"/>
  <c r="P266" i="46"/>
  <c r="O266" i="46"/>
  <c r="P265" i="46"/>
  <c r="O265" i="46"/>
  <c r="P264" i="46"/>
  <c r="O264" i="46"/>
  <c r="P263" i="46"/>
  <c r="O263" i="46"/>
  <c r="P262" i="46"/>
  <c r="O262" i="46"/>
  <c r="P261" i="46"/>
  <c r="O261" i="46"/>
  <c r="P260" i="46"/>
  <c r="O260" i="46"/>
  <c r="P259" i="46"/>
  <c r="O259" i="46"/>
  <c r="P258" i="46"/>
  <c r="O258" i="46"/>
  <c r="P257" i="46"/>
  <c r="O257" i="46"/>
  <c r="P256" i="46"/>
  <c r="O256" i="46"/>
  <c r="P255" i="46"/>
  <c r="O255" i="46"/>
  <c r="P254" i="46"/>
  <c r="O254" i="46"/>
  <c r="P253" i="46"/>
  <c r="O253" i="46"/>
  <c r="P252" i="46"/>
  <c r="O252" i="46"/>
  <c r="P251" i="46"/>
  <c r="O251" i="46"/>
  <c r="P250" i="46"/>
  <c r="O250" i="46"/>
  <c r="P249" i="46"/>
  <c r="O249" i="46"/>
  <c r="P248" i="46"/>
  <c r="O248" i="46"/>
  <c r="P247" i="46"/>
  <c r="O247" i="46"/>
  <c r="P246" i="46"/>
  <c r="O246" i="46"/>
  <c r="P245" i="46"/>
  <c r="O245" i="46"/>
  <c r="P244" i="46"/>
  <c r="O244" i="46"/>
  <c r="P243" i="46"/>
  <c r="O243" i="46"/>
  <c r="P242" i="46"/>
  <c r="O242" i="46"/>
  <c r="P241" i="46"/>
  <c r="O241" i="46"/>
  <c r="P240" i="46"/>
  <c r="O240" i="46"/>
  <c r="P239" i="46"/>
  <c r="O239" i="46"/>
  <c r="P238" i="46"/>
  <c r="O238" i="46"/>
  <c r="P237" i="46"/>
  <c r="O237" i="46"/>
  <c r="P236" i="46"/>
  <c r="O236" i="46"/>
  <c r="P235" i="46"/>
  <c r="O235" i="46"/>
  <c r="P234" i="46"/>
  <c r="O234" i="46"/>
  <c r="P233" i="46"/>
  <c r="O233" i="46"/>
  <c r="P232" i="46"/>
  <c r="O232" i="46"/>
  <c r="P231" i="46"/>
  <c r="O231" i="46"/>
  <c r="P230" i="46"/>
  <c r="O230" i="46"/>
  <c r="P229" i="46"/>
  <c r="O229" i="46"/>
  <c r="P228" i="46"/>
  <c r="O228" i="46"/>
  <c r="P227" i="46"/>
  <c r="O227" i="46"/>
  <c r="P226" i="46"/>
  <c r="O226" i="46"/>
  <c r="P225" i="46"/>
  <c r="O225" i="46"/>
  <c r="P224" i="46"/>
  <c r="O224" i="46"/>
  <c r="P223" i="46"/>
  <c r="O223" i="46"/>
  <c r="P222" i="46"/>
  <c r="O222" i="46"/>
  <c r="P221" i="46"/>
  <c r="O221" i="46"/>
  <c r="P220" i="46"/>
  <c r="O220" i="46"/>
  <c r="P219" i="46"/>
  <c r="O219" i="46"/>
  <c r="P218" i="46"/>
  <c r="O218" i="46"/>
  <c r="P217" i="46"/>
  <c r="O217" i="46"/>
  <c r="P216" i="46"/>
  <c r="O216" i="46"/>
  <c r="P215" i="46"/>
  <c r="O215" i="46"/>
  <c r="P214" i="46"/>
  <c r="O214" i="46"/>
  <c r="P213" i="46"/>
  <c r="O213" i="46"/>
  <c r="P212" i="46"/>
  <c r="O212" i="46"/>
  <c r="P211" i="46"/>
  <c r="O211" i="46"/>
  <c r="P210" i="46"/>
  <c r="O210" i="46"/>
  <c r="P209" i="46"/>
  <c r="O209" i="46"/>
  <c r="P208" i="46"/>
  <c r="O208" i="46"/>
  <c r="P207" i="46"/>
  <c r="O207" i="46"/>
  <c r="P206" i="46"/>
  <c r="O206" i="46"/>
  <c r="P205" i="46"/>
  <c r="O205" i="46"/>
  <c r="P204" i="46"/>
  <c r="O204" i="46"/>
  <c r="P203" i="46"/>
  <c r="O203" i="46"/>
  <c r="P202" i="46"/>
  <c r="O202" i="46"/>
  <c r="P201" i="46"/>
  <c r="O201" i="46"/>
  <c r="P200" i="46"/>
  <c r="O200" i="46"/>
  <c r="P199" i="46"/>
  <c r="O199" i="46"/>
  <c r="P198" i="46"/>
  <c r="O198" i="46"/>
  <c r="P197" i="46"/>
  <c r="O197" i="46"/>
  <c r="P196" i="46"/>
  <c r="O196" i="46"/>
  <c r="P195" i="46"/>
  <c r="O195" i="46"/>
  <c r="P194" i="46"/>
  <c r="O194" i="46"/>
  <c r="P193" i="46"/>
  <c r="O193" i="46"/>
  <c r="P192" i="46"/>
  <c r="O192" i="46"/>
  <c r="P191" i="46"/>
  <c r="O191" i="46"/>
  <c r="P190" i="46"/>
  <c r="O190" i="46"/>
  <c r="P189" i="46"/>
  <c r="O189" i="46"/>
  <c r="P188" i="46"/>
  <c r="O188" i="46"/>
  <c r="P187" i="46"/>
  <c r="O187" i="46"/>
  <c r="P186" i="46"/>
  <c r="O186" i="46"/>
  <c r="P185" i="46"/>
  <c r="O185" i="46"/>
  <c r="P184" i="46"/>
  <c r="O184" i="46"/>
  <c r="P183" i="46"/>
  <c r="O183" i="46"/>
  <c r="P182" i="46"/>
  <c r="O182" i="46"/>
  <c r="P181" i="46"/>
  <c r="O181" i="46"/>
  <c r="P180" i="46"/>
  <c r="O180" i="46"/>
  <c r="P179" i="46"/>
  <c r="O179" i="46"/>
  <c r="P178" i="46"/>
  <c r="O178" i="46"/>
  <c r="P177" i="46"/>
  <c r="O177" i="46"/>
  <c r="P176" i="46"/>
  <c r="O176" i="46"/>
  <c r="P175" i="46"/>
  <c r="O175" i="46"/>
  <c r="P174" i="46"/>
  <c r="O174" i="46"/>
  <c r="P173" i="46"/>
  <c r="O173" i="46"/>
  <c r="P172" i="46"/>
  <c r="O172" i="46"/>
  <c r="P171" i="46"/>
  <c r="O171" i="46"/>
  <c r="P170" i="46"/>
  <c r="O170" i="46"/>
  <c r="P169" i="46"/>
  <c r="O169" i="46"/>
  <c r="P168" i="46"/>
  <c r="O168" i="46"/>
  <c r="P167" i="46"/>
  <c r="O167" i="46"/>
  <c r="P166" i="46"/>
  <c r="O166" i="46"/>
  <c r="P165" i="46"/>
  <c r="O165" i="46"/>
  <c r="P164" i="46"/>
  <c r="O164" i="46"/>
  <c r="P163" i="46"/>
  <c r="O163" i="46"/>
  <c r="P162" i="46"/>
  <c r="O162" i="46"/>
  <c r="P161" i="46"/>
  <c r="O161" i="46"/>
  <c r="P160" i="46"/>
  <c r="O160" i="46"/>
  <c r="P159" i="46"/>
  <c r="O159" i="46"/>
  <c r="P158" i="46"/>
  <c r="O158" i="46"/>
  <c r="P157" i="46"/>
  <c r="O157" i="46"/>
  <c r="P156" i="46"/>
  <c r="O156" i="46"/>
  <c r="P155" i="46"/>
  <c r="O155" i="46"/>
  <c r="P154" i="46"/>
  <c r="O154" i="46"/>
  <c r="P153" i="46"/>
  <c r="O153" i="46"/>
  <c r="P152" i="46"/>
  <c r="O152" i="46"/>
  <c r="P151" i="46"/>
  <c r="O151" i="46"/>
  <c r="P150" i="46"/>
  <c r="O150" i="46"/>
  <c r="P149" i="46"/>
  <c r="O149" i="46"/>
  <c r="P148" i="46"/>
  <c r="O148" i="46"/>
  <c r="P147" i="46"/>
  <c r="O147" i="46"/>
  <c r="P146" i="46"/>
  <c r="O146" i="46"/>
  <c r="P145" i="46"/>
  <c r="O145" i="46"/>
  <c r="P144" i="46"/>
  <c r="O144" i="46"/>
  <c r="P143" i="46"/>
  <c r="O143" i="46"/>
  <c r="P142" i="46"/>
  <c r="O142" i="46"/>
  <c r="P141" i="46"/>
  <c r="O141" i="46"/>
  <c r="P140" i="46"/>
  <c r="O140" i="46"/>
  <c r="P139" i="46"/>
  <c r="O139" i="46"/>
  <c r="P138" i="46"/>
  <c r="O138" i="46"/>
  <c r="P137" i="46"/>
  <c r="O137" i="46"/>
  <c r="P136" i="46"/>
  <c r="O136" i="46"/>
  <c r="P135" i="46"/>
  <c r="O135" i="46"/>
  <c r="P134" i="46"/>
  <c r="O134" i="46"/>
  <c r="P133" i="46"/>
  <c r="O133" i="46"/>
  <c r="P132" i="46"/>
  <c r="O132" i="46"/>
  <c r="P131" i="46"/>
  <c r="O131" i="46"/>
  <c r="P130" i="46"/>
  <c r="O130" i="46"/>
  <c r="P129" i="46"/>
  <c r="O129" i="46"/>
  <c r="P128" i="46"/>
  <c r="O128" i="46"/>
  <c r="P127" i="46"/>
  <c r="O127" i="46"/>
  <c r="P126" i="46"/>
  <c r="O126" i="46"/>
  <c r="P125" i="46"/>
  <c r="O125" i="46"/>
  <c r="P124" i="46"/>
  <c r="O124" i="46"/>
  <c r="P123" i="46"/>
  <c r="O123" i="46"/>
  <c r="P122" i="46"/>
  <c r="O122" i="46"/>
  <c r="P121" i="46"/>
  <c r="O121" i="46"/>
  <c r="P120" i="46"/>
  <c r="O120" i="46"/>
  <c r="P119" i="46"/>
  <c r="O119" i="46"/>
  <c r="P118" i="46"/>
  <c r="O118" i="46"/>
  <c r="P117" i="46"/>
  <c r="O117" i="46"/>
  <c r="P116" i="46"/>
  <c r="O116" i="46"/>
  <c r="P115" i="46"/>
  <c r="O115" i="46"/>
  <c r="P114" i="46"/>
  <c r="O114" i="46"/>
  <c r="P113" i="46"/>
  <c r="O113" i="46"/>
  <c r="P112" i="46"/>
  <c r="O112" i="46"/>
  <c r="P111" i="46"/>
  <c r="O111" i="46"/>
  <c r="P110" i="46"/>
  <c r="O110" i="46"/>
  <c r="P109" i="46"/>
  <c r="O109" i="46"/>
  <c r="P108" i="46"/>
  <c r="O108" i="46"/>
  <c r="P107" i="46"/>
  <c r="O107" i="46"/>
  <c r="P106" i="46"/>
  <c r="O106" i="46"/>
  <c r="P105" i="46"/>
  <c r="O105" i="46"/>
  <c r="P104" i="46"/>
  <c r="O104" i="46"/>
  <c r="P103" i="46"/>
  <c r="O103" i="46"/>
  <c r="P102" i="46"/>
  <c r="O102" i="46"/>
  <c r="P101" i="46"/>
  <c r="O101" i="46"/>
  <c r="P100" i="46"/>
  <c r="O100" i="46"/>
  <c r="P99" i="46"/>
  <c r="O99" i="46"/>
  <c r="P98" i="46"/>
  <c r="O98" i="46"/>
  <c r="P97" i="46"/>
  <c r="O97" i="46"/>
  <c r="P96" i="46"/>
  <c r="O96" i="46"/>
  <c r="P95" i="46"/>
  <c r="O95" i="46"/>
  <c r="P94" i="46"/>
  <c r="O94" i="46"/>
  <c r="P93" i="46"/>
  <c r="O93" i="46"/>
  <c r="P92" i="46"/>
  <c r="O92" i="46"/>
  <c r="P91" i="46"/>
  <c r="O91" i="46"/>
  <c r="P90" i="46"/>
  <c r="O90" i="46"/>
  <c r="P89" i="46"/>
  <c r="O89" i="46"/>
  <c r="P88" i="46"/>
  <c r="O88" i="46"/>
  <c r="P87" i="46"/>
  <c r="O87" i="46"/>
  <c r="P86" i="46"/>
  <c r="O86" i="46"/>
  <c r="P85" i="46"/>
  <c r="O85" i="46"/>
  <c r="P84" i="46"/>
  <c r="O84" i="46"/>
  <c r="P83" i="46"/>
  <c r="O83" i="46"/>
  <c r="P82" i="46"/>
  <c r="O82" i="46"/>
  <c r="P81" i="46"/>
  <c r="O81" i="46"/>
  <c r="P80" i="46"/>
  <c r="O80" i="46"/>
  <c r="P79" i="46"/>
  <c r="O79" i="46"/>
  <c r="P78" i="46"/>
  <c r="O78" i="46"/>
  <c r="P77" i="46"/>
  <c r="O77" i="46"/>
  <c r="P76" i="46"/>
  <c r="O76" i="46"/>
  <c r="P75" i="46"/>
  <c r="O75" i="46"/>
  <c r="P74" i="46"/>
  <c r="O74" i="46"/>
  <c r="P73" i="46"/>
  <c r="O73" i="46"/>
  <c r="P72" i="46"/>
  <c r="O72" i="46"/>
  <c r="P71" i="46"/>
  <c r="O71" i="46"/>
  <c r="P70" i="46"/>
  <c r="O70" i="46"/>
  <c r="P69" i="46"/>
  <c r="O69" i="46"/>
  <c r="P68" i="46"/>
  <c r="O68" i="46"/>
  <c r="P67" i="46"/>
  <c r="O67" i="46"/>
  <c r="P66" i="46"/>
  <c r="O66" i="46"/>
  <c r="P65" i="46"/>
  <c r="O65" i="46"/>
  <c r="P64" i="46"/>
  <c r="O64" i="46"/>
  <c r="P63" i="46"/>
  <c r="O63" i="46"/>
  <c r="P62" i="46"/>
  <c r="O62" i="46"/>
  <c r="P61" i="46"/>
  <c r="O61" i="46"/>
  <c r="P60" i="46"/>
  <c r="O60" i="46"/>
  <c r="P59" i="46"/>
  <c r="O59" i="46"/>
  <c r="P58" i="46"/>
  <c r="O58" i="46"/>
  <c r="P57" i="46"/>
  <c r="O57" i="46"/>
  <c r="P56" i="46"/>
  <c r="O56" i="46"/>
  <c r="P55" i="46"/>
  <c r="O55" i="46"/>
  <c r="P54" i="46"/>
  <c r="O54" i="46"/>
  <c r="P53" i="46"/>
  <c r="O53" i="46"/>
  <c r="P52" i="46"/>
  <c r="O52" i="46"/>
  <c r="P51" i="46"/>
  <c r="O51" i="46"/>
  <c r="M303" i="46"/>
  <c r="M302" i="46"/>
  <c r="M301" i="46"/>
  <c r="M300" i="46"/>
  <c r="M299" i="46"/>
  <c r="M298" i="46"/>
  <c r="M297" i="46"/>
  <c r="M296" i="46"/>
  <c r="M295" i="46"/>
  <c r="M294" i="46"/>
  <c r="M293" i="46"/>
  <c r="M292" i="46"/>
  <c r="M291" i="46"/>
  <c r="M290" i="46"/>
  <c r="M289" i="46"/>
  <c r="M288" i="46"/>
  <c r="M287" i="46"/>
  <c r="M286" i="46"/>
  <c r="M285" i="46"/>
  <c r="M284" i="46"/>
  <c r="M283" i="46"/>
  <c r="M282" i="46"/>
  <c r="M281" i="46"/>
  <c r="M280" i="46"/>
  <c r="M279" i="46"/>
  <c r="M278" i="46"/>
  <c r="M277" i="46"/>
  <c r="M276" i="46"/>
  <c r="M275" i="46"/>
  <c r="M274" i="46"/>
  <c r="M273" i="46"/>
  <c r="M272" i="46"/>
  <c r="M271" i="46"/>
  <c r="M270" i="46"/>
  <c r="M269" i="46"/>
  <c r="M268" i="46"/>
  <c r="M267" i="46"/>
  <c r="M266" i="46"/>
  <c r="M265" i="46"/>
  <c r="M264" i="46"/>
  <c r="M263" i="46"/>
  <c r="M262" i="46"/>
  <c r="M261" i="46"/>
  <c r="M260" i="46"/>
  <c r="M259" i="46"/>
  <c r="M258" i="46"/>
  <c r="M257" i="46"/>
  <c r="M256" i="46"/>
  <c r="M255" i="46"/>
  <c r="M254" i="46"/>
  <c r="M253" i="46"/>
  <c r="M252" i="46"/>
  <c r="M251" i="46"/>
  <c r="M250" i="46"/>
  <c r="M249" i="46"/>
  <c r="M248" i="46"/>
  <c r="M247" i="46"/>
  <c r="M246" i="46"/>
  <c r="M245" i="46"/>
  <c r="M244" i="46"/>
  <c r="M243" i="46"/>
  <c r="M242" i="46"/>
  <c r="M241" i="46"/>
  <c r="M240" i="46"/>
  <c r="M239" i="46"/>
  <c r="M238" i="46"/>
  <c r="M237" i="46"/>
  <c r="M236" i="46"/>
  <c r="M235" i="46"/>
  <c r="M234" i="46"/>
  <c r="M233" i="46"/>
  <c r="M232" i="46"/>
  <c r="M231" i="46"/>
  <c r="M230" i="46"/>
  <c r="M229" i="46"/>
  <c r="M228" i="46"/>
  <c r="M227" i="46"/>
  <c r="M226" i="46"/>
  <c r="M225" i="46"/>
  <c r="M223" i="46"/>
  <c r="M222" i="46"/>
  <c r="M221" i="46"/>
  <c r="M220" i="46"/>
  <c r="M219" i="46"/>
  <c r="M217" i="46"/>
  <c r="M216" i="46"/>
  <c r="M215" i="46"/>
  <c r="M213" i="46"/>
  <c r="M212" i="46"/>
  <c r="M211" i="46"/>
  <c r="M210" i="46"/>
  <c r="M209" i="46"/>
  <c r="M208" i="46"/>
  <c r="M207" i="46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187" i="46"/>
  <c r="M186" i="46"/>
  <c r="M185" i="46"/>
  <c r="M184" i="46"/>
  <c r="M183" i="46"/>
  <c r="M182" i="46"/>
  <c r="M181" i="46"/>
  <c r="M180" i="46"/>
  <c r="M179" i="46"/>
  <c r="M178" i="46"/>
  <c r="M177" i="46"/>
  <c r="M176" i="46"/>
  <c r="M175" i="46"/>
  <c r="M174" i="46"/>
  <c r="M173" i="46"/>
  <c r="M172" i="46"/>
  <c r="M171" i="46"/>
  <c r="M170" i="46"/>
  <c r="M169" i="46"/>
  <c r="M168" i="46"/>
  <c r="M167" i="46"/>
  <c r="M166" i="46"/>
  <c r="M165" i="46"/>
  <c r="M164" i="46"/>
  <c r="M163" i="46"/>
  <c r="M162" i="46"/>
  <c r="M161" i="46"/>
  <c r="M160" i="46"/>
  <c r="M159" i="46"/>
  <c r="M158" i="46"/>
  <c r="M157" i="46"/>
  <c r="M156" i="46"/>
  <c r="M155" i="46"/>
  <c r="M154" i="46"/>
  <c r="M153" i="46"/>
  <c r="M152" i="46"/>
  <c r="M151" i="46"/>
  <c r="M150" i="46"/>
  <c r="M149" i="46"/>
  <c r="M148" i="46"/>
  <c r="M147" i="46"/>
  <c r="M146" i="46"/>
  <c r="M145" i="46"/>
  <c r="M144" i="46"/>
  <c r="M143" i="46"/>
  <c r="M142" i="46"/>
  <c r="M141" i="46"/>
  <c r="M140" i="46"/>
  <c r="M139" i="46"/>
  <c r="M138" i="46"/>
  <c r="M137" i="46"/>
  <c r="M136" i="46"/>
  <c r="M135" i="46"/>
  <c r="M134" i="46"/>
  <c r="M133" i="46"/>
  <c r="M132" i="46"/>
  <c r="M131" i="46"/>
  <c r="M130" i="46"/>
  <c r="M129" i="46"/>
  <c r="M128" i="46"/>
  <c r="M127" i="46"/>
  <c r="M126" i="46"/>
  <c r="M125" i="46"/>
  <c r="M124" i="46"/>
  <c r="M123" i="46"/>
  <c r="M122" i="46"/>
  <c r="M121" i="46"/>
  <c r="M120" i="46"/>
  <c r="M119" i="46"/>
  <c r="M118" i="46"/>
  <c r="M117" i="46"/>
  <c r="M116" i="46"/>
  <c r="M115" i="46"/>
  <c r="M114" i="46"/>
  <c r="M113" i="46"/>
  <c r="M112" i="46"/>
  <c r="M111" i="46"/>
  <c r="M110" i="46"/>
  <c r="M109" i="46"/>
  <c r="M108" i="46"/>
  <c r="M107" i="46"/>
  <c r="M106" i="46"/>
  <c r="M105" i="46"/>
  <c r="M104" i="46"/>
  <c r="M103" i="46"/>
  <c r="M102" i="46"/>
  <c r="M101" i="46"/>
  <c r="M100" i="46"/>
  <c r="M99" i="46"/>
  <c r="M98" i="46"/>
  <c r="M97" i="46"/>
  <c r="M96" i="46"/>
  <c r="M95" i="46"/>
  <c r="M94" i="46"/>
  <c r="M93" i="46"/>
  <c r="M92" i="46"/>
  <c r="M91" i="46"/>
  <c r="M90" i="46"/>
  <c r="M89" i="46"/>
  <c r="M88" i="46"/>
  <c r="M87" i="46"/>
  <c r="M86" i="46"/>
  <c r="M85" i="46"/>
  <c r="M84" i="46"/>
  <c r="M83" i="46"/>
  <c r="M82" i="46"/>
  <c r="M81" i="46"/>
  <c r="M80" i="46"/>
  <c r="M79" i="46"/>
  <c r="M78" i="46"/>
  <c r="M76" i="46"/>
  <c r="M75" i="46"/>
  <c r="M74" i="46"/>
  <c r="M73" i="46"/>
  <c r="M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10" i="46"/>
  <c r="C5" i="71" l="1"/>
  <c r="D4" i="71"/>
  <c r="D18" i="71" s="1"/>
  <c r="P32" i="81"/>
  <c r="P38" i="81" s="1"/>
  <c r="C38" i="81"/>
  <c r="P67" i="49"/>
  <c r="O67" i="49"/>
  <c r="M67" i="49"/>
  <c r="P66" i="49"/>
  <c r="O66" i="49"/>
  <c r="M66" i="49"/>
  <c r="P65" i="49"/>
  <c r="O65" i="49"/>
  <c r="M65" i="49"/>
  <c r="P64" i="49"/>
  <c r="O64" i="49"/>
  <c r="M64" i="49"/>
  <c r="P63" i="49"/>
  <c r="O63" i="49"/>
  <c r="M63" i="49"/>
  <c r="P62" i="49"/>
  <c r="O62" i="49"/>
  <c r="M62" i="49"/>
  <c r="P61" i="49"/>
  <c r="O61" i="49"/>
  <c r="P60" i="49"/>
  <c r="O60" i="49"/>
  <c r="P59" i="49"/>
  <c r="O59" i="49"/>
  <c r="M59" i="49"/>
  <c r="P58" i="49"/>
  <c r="O58" i="49"/>
  <c r="M58" i="49"/>
  <c r="P57" i="49"/>
  <c r="O57" i="49"/>
  <c r="M57" i="49"/>
  <c r="P56" i="49"/>
  <c r="O56" i="49"/>
  <c r="M56" i="49"/>
  <c r="P55" i="49"/>
  <c r="O55" i="49"/>
  <c r="M55" i="49"/>
  <c r="P54" i="49"/>
  <c r="O54" i="49"/>
  <c r="P53" i="49"/>
  <c r="O53" i="49"/>
  <c r="M53" i="49"/>
  <c r="P52" i="49"/>
  <c r="O52" i="49"/>
  <c r="M52" i="49"/>
  <c r="P51" i="49"/>
  <c r="O51" i="49"/>
  <c r="M51" i="49"/>
  <c r="P50" i="49"/>
  <c r="O50" i="49"/>
  <c r="M50" i="49"/>
  <c r="P49" i="49"/>
  <c r="O49" i="49"/>
  <c r="M49" i="49"/>
  <c r="P48" i="49"/>
  <c r="O48" i="49"/>
  <c r="P47" i="49"/>
  <c r="O47" i="49"/>
  <c r="M47" i="49"/>
  <c r="P46" i="49"/>
  <c r="O46" i="49"/>
  <c r="M46" i="49"/>
  <c r="P45" i="49"/>
  <c r="O45" i="49"/>
  <c r="M45" i="49"/>
  <c r="P44" i="49"/>
  <c r="O44" i="49"/>
  <c r="M44" i="49"/>
  <c r="P43" i="49"/>
  <c r="O43" i="49"/>
  <c r="M43" i="49"/>
  <c r="P42" i="49"/>
  <c r="O42" i="49"/>
  <c r="M42" i="49"/>
  <c r="P41" i="49"/>
  <c r="O41" i="49"/>
  <c r="M41" i="49"/>
  <c r="P40" i="49"/>
  <c r="O40" i="49"/>
  <c r="M40" i="49"/>
  <c r="P39" i="49"/>
  <c r="O39" i="49"/>
  <c r="M39" i="49"/>
  <c r="P38" i="49"/>
  <c r="O38" i="49"/>
  <c r="M38" i="49"/>
  <c r="P37" i="49"/>
  <c r="O37" i="49"/>
  <c r="M37" i="49"/>
  <c r="P36" i="49"/>
  <c r="O36" i="49"/>
  <c r="M36" i="49"/>
  <c r="P35" i="49"/>
  <c r="O35" i="49"/>
  <c r="M35" i="49"/>
  <c r="P34" i="49"/>
  <c r="O34" i="49"/>
  <c r="M34" i="49"/>
  <c r="P33" i="49"/>
  <c r="O33" i="49"/>
  <c r="M33" i="49"/>
  <c r="P32" i="49"/>
  <c r="O32" i="49"/>
  <c r="M32" i="49"/>
  <c r="P31" i="49"/>
  <c r="O31" i="49"/>
  <c r="P30" i="49"/>
  <c r="O30" i="49"/>
  <c r="M30" i="49"/>
  <c r="P29" i="49"/>
  <c r="O29" i="49"/>
  <c r="M29" i="49"/>
  <c r="P28" i="49"/>
  <c r="O28" i="49"/>
  <c r="M28" i="49"/>
  <c r="P27" i="49"/>
  <c r="O27" i="49"/>
  <c r="M27" i="49"/>
  <c r="P26" i="49"/>
  <c r="O26" i="49"/>
  <c r="M26" i="49"/>
  <c r="P25" i="49"/>
  <c r="O25" i="49"/>
  <c r="M25" i="49"/>
  <c r="P24" i="49"/>
  <c r="O24" i="49"/>
  <c r="M24" i="49"/>
  <c r="P23" i="49"/>
  <c r="O23" i="49"/>
  <c r="M23" i="49"/>
  <c r="P22" i="49"/>
  <c r="O22" i="49"/>
  <c r="M22" i="49"/>
  <c r="P21" i="49"/>
  <c r="O21" i="49"/>
  <c r="M21" i="49"/>
  <c r="P20" i="49"/>
  <c r="O20" i="49"/>
  <c r="M20" i="49"/>
  <c r="P19" i="49"/>
  <c r="O19" i="49"/>
  <c r="M19" i="49"/>
  <c r="P18" i="49"/>
  <c r="O18" i="49"/>
  <c r="M18" i="49"/>
  <c r="P17" i="49"/>
  <c r="O17" i="49"/>
  <c r="M17" i="49"/>
  <c r="P16" i="49"/>
  <c r="O16" i="49"/>
  <c r="M16" i="49"/>
  <c r="P15" i="49"/>
  <c r="O15" i="49"/>
  <c r="M15" i="49"/>
  <c r="P14" i="49"/>
  <c r="O14" i="49"/>
  <c r="M14" i="49"/>
  <c r="P13" i="49"/>
  <c r="O13" i="49"/>
  <c r="M13" i="49"/>
  <c r="P12" i="49"/>
  <c r="O12" i="49"/>
  <c r="M12" i="49"/>
  <c r="P11" i="49"/>
  <c r="O11" i="49"/>
  <c r="M11" i="49"/>
  <c r="P10" i="49"/>
  <c r="O10" i="49"/>
  <c r="M10" i="49"/>
  <c r="P9" i="49"/>
  <c r="O9" i="49"/>
  <c r="M9" i="49"/>
  <c r="U5" i="71" l="1"/>
  <c r="C4" i="71"/>
  <c r="M217" i="48"/>
  <c r="M216" i="48"/>
  <c r="M215" i="48"/>
  <c r="M214" i="48"/>
  <c r="M213" i="48"/>
  <c r="M212" i="48"/>
  <c r="M211" i="48"/>
  <c r="M210" i="48"/>
  <c r="M209" i="48"/>
  <c r="M208" i="48"/>
  <c r="M207" i="48"/>
  <c r="M206" i="48"/>
  <c r="M205" i="48"/>
  <c r="M204" i="48"/>
  <c r="M203" i="48"/>
  <c r="M202" i="48"/>
  <c r="M201" i="48"/>
  <c r="M200" i="48"/>
  <c r="M199" i="48"/>
  <c r="M198" i="48"/>
  <c r="M197" i="48"/>
  <c r="M196" i="48"/>
  <c r="M195" i="48"/>
  <c r="M194" i="48"/>
  <c r="M193" i="48"/>
  <c r="M192" i="48"/>
  <c r="M191" i="48"/>
  <c r="M190" i="48"/>
  <c r="M189" i="48"/>
  <c r="M188" i="48"/>
  <c r="M187" i="48"/>
  <c r="M186" i="48"/>
  <c r="M185" i="48"/>
  <c r="M184" i="48"/>
  <c r="M183" i="48"/>
  <c r="M182" i="48"/>
  <c r="M181" i="48"/>
  <c r="M180" i="48"/>
  <c r="M179" i="48"/>
  <c r="M178" i="48"/>
  <c r="M177" i="48"/>
  <c r="M176" i="48"/>
  <c r="M175" i="48"/>
  <c r="M174" i="48"/>
  <c r="M173" i="48"/>
  <c r="M172" i="48"/>
  <c r="M171" i="48"/>
  <c r="M170" i="48"/>
  <c r="M169" i="48"/>
  <c r="M168" i="48"/>
  <c r="M167" i="48"/>
  <c r="M166" i="48"/>
  <c r="M165" i="48"/>
  <c r="M164" i="48"/>
  <c r="M163" i="48"/>
  <c r="M162" i="48"/>
  <c r="M161" i="48"/>
  <c r="M160" i="48"/>
  <c r="M159" i="48"/>
  <c r="M158" i="48"/>
  <c r="M157" i="48"/>
  <c r="M156" i="48"/>
  <c r="M155" i="48"/>
  <c r="M154" i="48"/>
  <c r="M153" i="48"/>
  <c r="M152" i="48"/>
  <c r="M151" i="48"/>
  <c r="M150" i="48"/>
  <c r="M149" i="48"/>
  <c r="M148" i="48"/>
  <c r="M147" i="48"/>
  <c r="M146" i="48"/>
  <c r="M145" i="48"/>
  <c r="M144" i="48"/>
  <c r="M143" i="48"/>
  <c r="M142" i="48"/>
  <c r="M141" i="48"/>
  <c r="M140" i="48"/>
  <c r="M139" i="48"/>
  <c r="M138" i="48"/>
  <c r="M137" i="48"/>
  <c r="M136" i="48"/>
  <c r="M135" i="48"/>
  <c r="M134" i="48"/>
  <c r="M133" i="48"/>
  <c r="M132" i="48"/>
  <c r="M131" i="48"/>
  <c r="M130" i="48"/>
  <c r="M129" i="48"/>
  <c r="M128" i="48"/>
  <c r="M127" i="48"/>
  <c r="M126" i="48"/>
  <c r="M125" i="48"/>
  <c r="M124" i="48"/>
  <c r="M123" i="48"/>
  <c r="M122" i="48"/>
  <c r="M121" i="48"/>
  <c r="M120" i="48"/>
  <c r="M119" i="48"/>
  <c r="M118" i="48"/>
  <c r="M117" i="48"/>
  <c r="M116" i="48"/>
  <c r="M115" i="48"/>
  <c r="M114" i="48"/>
  <c r="M113" i="48"/>
  <c r="M112" i="48"/>
  <c r="M111" i="48"/>
  <c r="M110" i="48"/>
  <c r="M109" i="48"/>
  <c r="M108" i="48"/>
  <c r="M107" i="48"/>
  <c r="M106" i="48"/>
  <c r="M105" i="48"/>
  <c r="M104" i="48"/>
  <c r="M103" i="48"/>
  <c r="M102" i="48"/>
  <c r="M101" i="48"/>
  <c r="M100" i="48"/>
  <c r="M99" i="48"/>
  <c r="M98" i="48"/>
  <c r="M97" i="48"/>
  <c r="M96" i="48"/>
  <c r="M95" i="48"/>
  <c r="M94" i="48"/>
  <c r="M93" i="48"/>
  <c r="M92" i="48"/>
  <c r="M91" i="48"/>
  <c r="M90" i="48"/>
  <c r="M89" i="48"/>
  <c r="M88" i="48"/>
  <c r="M87" i="48"/>
  <c r="M86" i="48"/>
  <c r="M85" i="48"/>
  <c r="M84" i="48"/>
  <c r="M83" i="48"/>
  <c r="M82" i="48"/>
  <c r="M81" i="48"/>
  <c r="M80" i="48"/>
  <c r="M79" i="48"/>
  <c r="M78" i="48"/>
  <c r="M77" i="48"/>
  <c r="M76" i="48"/>
  <c r="M75" i="48"/>
  <c r="M74" i="48"/>
  <c r="M73" i="48"/>
  <c r="M72" i="48"/>
  <c r="M71" i="48"/>
  <c r="M70" i="48"/>
  <c r="M69" i="48"/>
  <c r="M68" i="48"/>
  <c r="M67" i="48"/>
  <c r="M66" i="48"/>
  <c r="M65" i="48"/>
  <c r="M64" i="48"/>
  <c r="M63" i="48"/>
  <c r="M62" i="48"/>
  <c r="M61" i="48"/>
  <c r="M60" i="48"/>
  <c r="M59" i="48"/>
  <c r="M58" i="48"/>
  <c r="M57" i="48"/>
  <c r="M56" i="48"/>
  <c r="M55" i="48"/>
  <c r="M54" i="48"/>
  <c r="M53" i="48"/>
  <c r="M52" i="48"/>
  <c r="M51" i="48"/>
  <c r="M50" i="48"/>
  <c r="M49" i="48"/>
  <c r="M48" i="48"/>
  <c r="M47" i="48"/>
  <c r="M46" i="48"/>
  <c r="M45" i="48"/>
  <c r="M44" i="48"/>
  <c r="M43" i="48"/>
  <c r="M42" i="48"/>
  <c r="M41" i="48"/>
  <c r="M40" i="48"/>
  <c r="M39" i="48"/>
  <c r="M38" i="48"/>
  <c r="M37" i="48"/>
  <c r="M36" i="48"/>
  <c r="M35" i="48"/>
  <c r="M34" i="48"/>
  <c r="M33" i="48"/>
  <c r="M32" i="48"/>
  <c r="M31" i="48"/>
  <c r="M3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C18" i="71" l="1"/>
  <c r="U18" i="71" s="1"/>
  <c r="U4" i="71"/>
  <c r="AK45" i="10"/>
  <c r="F31" i="10"/>
  <c r="F48" i="10" s="1"/>
  <c r="AE31" i="10"/>
  <c r="AI6" i="10"/>
  <c r="K7" i="10" l="1"/>
  <c r="K6" i="10" s="1"/>
  <c r="AE7" i="10"/>
  <c r="AE6" i="10" s="1"/>
  <c r="K31" i="10"/>
  <c r="AK42" i="10"/>
  <c r="AK38" i="10"/>
  <c r="T3" i="10"/>
  <c r="AK14" i="10"/>
  <c r="AK16" i="10"/>
  <c r="AK22" i="10"/>
  <c r="AK37" i="10"/>
  <c r="AK30" i="10"/>
  <c r="AK46" i="10"/>
  <c r="AK39" i="10"/>
  <c r="AK15" i="10"/>
  <c r="F15" i="12"/>
  <c r="Q15" i="12" s="1"/>
  <c r="F14" i="12"/>
  <c r="Q14" i="12" s="1"/>
  <c r="Q6" i="12"/>
  <c r="AI48" i="10" l="1"/>
  <c r="AI3" i="10"/>
  <c r="Y48" i="10"/>
  <c r="AE48" i="10"/>
  <c r="AE3" i="10"/>
  <c r="T48" i="10"/>
  <c r="Q4" i="10"/>
  <c r="R48" i="10"/>
  <c r="H48" i="10"/>
  <c r="F13" i="12"/>
  <c r="Q13" i="12" s="1"/>
  <c r="G38" i="12"/>
  <c r="Q7" i="12"/>
  <c r="Q11" i="12"/>
  <c r="Q9" i="12"/>
  <c r="O4" i="12" l="1"/>
  <c r="M4" i="12" s="1"/>
  <c r="AK13" i="10"/>
  <c r="AK12" i="10" s="1"/>
  <c r="Q48" i="10"/>
  <c r="Q3" i="10"/>
  <c r="G48" i="10"/>
  <c r="F4" i="12"/>
  <c r="Q8" i="12"/>
  <c r="Q16" i="12"/>
  <c r="F12" i="12"/>
  <c r="Q12" i="12" s="1"/>
  <c r="O38" i="12" l="1"/>
  <c r="M38" i="12" s="1"/>
  <c r="C29" i="10" l="1"/>
  <c r="AK29" i="10" s="1"/>
  <c r="AK5" i="10"/>
  <c r="C8" i="10"/>
  <c r="AK8" i="10" s="1"/>
  <c r="C31" i="10" l="1"/>
  <c r="C10" i="10" l="1"/>
  <c r="AK10" i="10" l="1"/>
  <c r="AK9" i="10" s="1"/>
  <c r="C9" i="10"/>
  <c r="D7" i="5"/>
  <c r="Q15" i="5"/>
  <c r="Q16" i="5"/>
  <c r="Q17" i="5"/>
  <c r="Q9" i="5"/>
  <c r="Q23" i="5"/>
  <c r="Q30" i="5"/>
  <c r="Q31" i="5"/>
  <c r="Q39" i="5"/>
  <c r="Q40" i="5"/>
  <c r="Q41" i="5"/>
  <c r="Q43" i="5"/>
  <c r="Q47" i="5"/>
  <c r="Q11" i="5" l="1"/>
  <c r="Q10" i="5" s="1"/>
  <c r="F8" i="5"/>
  <c r="F7" i="5" s="1"/>
  <c r="D5" i="5"/>
  <c r="D4" i="5" s="1"/>
  <c r="C8" i="5"/>
  <c r="C7" i="5" s="1"/>
  <c r="F27" i="12"/>
  <c r="Q27" i="12" s="1"/>
  <c r="M8" i="5"/>
  <c r="M7" i="5" s="1"/>
  <c r="J4" i="12"/>
  <c r="Q4" i="12" s="1"/>
  <c r="Q33" i="5"/>
  <c r="G5" i="5"/>
  <c r="Q38" i="5"/>
  <c r="Q46" i="5"/>
  <c r="Q6" i="5"/>
  <c r="Q37" i="5"/>
  <c r="G45" i="5"/>
  <c r="F45" i="5" s="1"/>
  <c r="F5" i="5" l="1"/>
  <c r="F4" i="5" s="1"/>
  <c r="G4" i="5"/>
  <c r="Q45" i="5"/>
  <c r="Q8" i="5"/>
  <c r="Q7" i="5" s="1"/>
  <c r="C5" i="5"/>
  <c r="C4" i="5" s="1"/>
  <c r="M3" i="10"/>
  <c r="AC44" i="10"/>
  <c r="AC48" i="10" s="1"/>
  <c r="W31" i="10"/>
  <c r="W48" i="10" s="1"/>
  <c r="F37" i="12"/>
  <c r="F38" i="12" l="1"/>
  <c r="Q37" i="12"/>
  <c r="N48" i="10"/>
  <c r="N3" i="10"/>
  <c r="M48" i="10"/>
  <c r="K4" i="10"/>
  <c r="K3" i="10" s="1"/>
  <c r="Z44" i="10"/>
  <c r="Z48" i="10" s="1"/>
  <c r="AK44" i="10"/>
  <c r="X31" i="10"/>
  <c r="X48" i="10" s="1"/>
  <c r="C38" i="12" l="1"/>
  <c r="D18" i="3"/>
  <c r="M5" i="5"/>
  <c r="C7" i="10"/>
  <c r="J22" i="12"/>
  <c r="J38" i="12" l="1"/>
  <c r="T11" i="3" s="1"/>
  <c r="Q22" i="12"/>
  <c r="AK7" i="10"/>
  <c r="AK6" i="10" s="1"/>
  <c r="C6" i="10"/>
  <c r="Q5" i="5"/>
  <c r="Q4" i="5" s="1"/>
  <c r="M4" i="5"/>
  <c r="C4" i="10"/>
  <c r="C3" i="10" s="1"/>
  <c r="U32" i="10"/>
  <c r="AK32" i="10" s="1"/>
  <c r="V31" i="10"/>
  <c r="V48" i="10" s="1"/>
  <c r="J32" i="5"/>
  <c r="Q32" i="5" s="1"/>
  <c r="P18" i="3" l="1"/>
  <c r="Q38" i="12"/>
  <c r="C48" i="10"/>
  <c r="AK4" i="10"/>
  <c r="K48" i="10"/>
  <c r="U31" i="10"/>
  <c r="AK31" i="10" s="1"/>
  <c r="C4" i="3"/>
  <c r="T4" i="3" s="1"/>
  <c r="AK3" i="10" l="1"/>
  <c r="AK48" i="10"/>
  <c r="U48" i="10"/>
  <c r="C18" i="3"/>
  <c r="G49" i="5"/>
  <c r="F49" i="5"/>
  <c r="J49" i="5"/>
  <c r="I49" i="5"/>
  <c r="O49" i="5"/>
  <c r="D49" i="5"/>
  <c r="M49" i="5" l="1"/>
  <c r="C49" i="5"/>
  <c r="Q49" i="5" l="1"/>
  <c r="T16" i="3"/>
  <c r="Q18" i="3" l="1"/>
  <c r="T18" i="3" s="1"/>
</calcChain>
</file>

<file path=xl/comments1.xml><?xml version="1.0" encoding="utf-8"?>
<comments xmlns="http://schemas.openxmlformats.org/spreadsheetml/2006/main">
  <authors>
    <author>adzhartibaeva</author>
  </authors>
  <commentList>
    <comment ref="A34" authorId="0">
      <text>
        <r>
          <rPr>
            <b/>
            <sz val="9"/>
            <color indexed="81"/>
            <rFont val="Tahoma"/>
            <family val="2"/>
            <charset val="204"/>
          </rPr>
          <t>adzhartibaeva:</t>
        </r>
        <r>
          <rPr>
            <sz val="9"/>
            <color indexed="81"/>
            <rFont val="Tahoma"/>
            <family val="2"/>
            <charset val="204"/>
          </rPr>
          <t xml:space="preserve">
поменяла текст боковика как в сКУВТ</t>
        </r>
      </text>
    </comment>
  </commentList>
</comments>
</file>

<file path=xl/sharedStrings.xml><?xml version="1.0" encoding="utf-8"?>
<sst xmlns="http://schemas.openxmlformats.org/spreadsheetml/2006/main" count="16162" uniqueCount="2658">
  <si>
    <t>Министерство внутренних дел Республики Казахстан</t>
  </si>
  <si>
    <t>Министерство обороны Республики Казахстан</t>
  </si>
  <si>
    <t>Министерство образования и науки Республики Казахстан</t>
  </si>
  <si>
    <t>Управление делами Президента Республики Казахстан</t>
  </si>
  <si>
    <t>Управление строительства, пассажирского транспорта и автомобильных дорог области</t>
  </si>
  <si>
    <t>Управление строительства, архитектуры и градостроительства области</t>
  </si>
  <si>
    <t>Всего</t>
  </si>
  <si>
    <t>FS.1.1</t>
  </si>
  <si>
    <t>FS.1.1.1</t>
  </si>
  <si>
    <t>FS.1.1.2</t>
  </si>
  <si>
    <t xml:space="preserve">Средства из государственого бюджета </t>
  </si>
  <si>
    <t>Средства республиканского бюджета</t>
  </si>
  <si>
    <t>Средства местного бюджета</t>
  </si>
  <si>
    <t>Остальной мир</t>
  </si>
  <si>
    <t xml:space="preserve">HF.1 </t>
  </si>
  <si>
    <t>Схемы государственного финансирования и финансирования на основе обязательных отчисленией</t>
  </si>
  <si>
    <t xml:space="preserve">HF.1.1 </t>
  </si>
  <si>
    <t>Государственные схемы</t>
  </si>
  <si>
    <t xml:space="preserve">HF.1.1.1 </t>
  </si>
  <si>
    <t>Государственные схемы финансирования республиканского уровня</t>
  </si>
  <si>
    <t>HF.1.1.1.1</t>
  </si>
  <si>
    <t>HF.1.1.1.2</t>
  </si>
  <si>
    <t>HF.1.1.1.3</t>
  </si>
  <si>
    <t>HF.1.1.1.4</t>
  </si>
  <si>
    <t>HF.1.1.1.6</t>
  </si>
  <si>
    <t xml:space="preserve">HF.1.1.2 </t>
  </si>
  <si>
    <t>Государственные схемы финансирования местного уровня</t>
  </si>
  <si>
    <t>HF.1.1.2.1</t>
  </si>
  <si>
    <t>Местные органы государственного управления здравоохранением</t>
  </si>
  <si>
    <t>HF.1.1.2.3</t>
  </si>
  <si>
    <t>Местные органы управления образования</t>
  </si>
  <si>
    <t>HF.1.1.2.6</t>
  </si>
  <si>
    <t>Местные органы управления строительства</t>
  </si>
  <si>
    <t>HF.1.1.2.7</t>
  </si>
  <si>
    <t xml:space="preserve">Местные органы управление строительства, пассажирского транспорта и автомобильных дорог </t>
  </si>
  <si>
    <t xml:space="preserve">HF.2 </t>
  </si>
  <si>
    <t xml:space="preserve">Схемы добровольных медицинских взносов  </t>
  </si>
  <si>
    <t xml:space="preserve">HF.2.1 </t>
  </si>
  <si>
    <t>Схемы добровольного медицинского страхования</t>
  </si>
  <si>
    <t xml:space="preserve">HF.2.3 </t>
  </si>
  <si>
    <t>Схемы финансирования предприятий</t>
  </si>
  <si>
    <t xml:space="preserve">HF.3 </t>
  </si>
  <si>
    <t>Частные расходы домохозяйств</t>
  </si>
  <si>
    <t xml:space="preserve">HF.4 </t>
  </si>
  <si>
    <t xml:space="preserve">Международные схемы финансирования </t>
  </si>
  <si>
    <t xml:space="preserve">HF.4.2 </t>
  </si>
  <si>
    <t>ВСЕГО</t>
  </si>
  <si>
    <t>Местные органы госдарственного управления</t>
  </si>
  <si>
    <t xml:space="preserve">HC.1 </t>
  </si>
  <si>
    <t>Услуги лечения</t>
  </si>
  <si>
    <t>HC.1.1</t>
  </si>
  <si>
    <t>Медицинские услуги на стационарном уровне</t>
  </si>
  <si>
    <t>HC.1.2</t>
  </si>
  <si>
    <t>Лечение в дневном стационаре</t>
  </si>
  <si>
    <t xml:space="preserve">HC.1.3 </t>
  </si>
  <si>
    <t>Амбулаторное лечение</t>
  </si>
  <si>
    <t>HC.1.3.1</t>
  </si>
  <si>
    <t>Основные медицинские услуги на амбулаторном уровне</t>
  </si>
  <si>
    <t>HC.1.3.2</t>
  </si>
  <si>
    <t>Амбулаторное стоматологическое лечение</t>
  </si>
  <si>
    <t>HC.1.3.3</t>
  </si>
  <si>
    <t>Специализированное амбулаторное лечение</t>
  </si>
  <si>
    <t>HC.2</t>
  </si>
  <si>
    <t>Реабилитационное лечение</t>
  </si>
  <si>
    <t xml:space="preserve">HC.2.1 </t>
  </si>
  <si>
    <t>Реабилитационное лечение в стационаре</t>
  </si>
  <si>
    <t xml:space="preserve">HC.3 </t>
  </si>
  <si>
    <t>Долгосрочный медицинский уход</t>
  </si>
  <si>
    <t xml:space="preserve">HC.4 </t>
  </si>
  <si>
    <t>Вспомогательные услуги</t>
  </si>
  <si>
    <t>HC.4.2</t>
  </si>
  <si>
    <t>Диагностические услуги</t>
  </si>
  <si>
    <t>HC.4.3</t>
  </si>
  <si>
    <t>Транспортировка пациентов</t>
  </si>
  <si>
    <t xml:space="preserve">HC.5 </t>
  </si>
  <si>
    <t>Предоставление медицинских товаров</t>
  </si>
  <si>
    <t xml:space="preserve">HC.5.1 </t>
  </si>
  <si>
    <t>Фармацевтические и прочие медицинские товары недлительного пользования</t>
  </si>
  <si>
    <t xml:space="preserve">HC.5.2 </t>
  </si>
  <si>
    <t>Терапевтические приборы и прочие медицинские товары длительного пользования</t>
  </si>
  <si>
    <t xml:space="preserve">HC.6 </t>
  </si>
  <si>
    <t>Профилактические услуги</t>
  </si>
  <si>
    <t>HC.6.1</t>
  </si>
  <si>
    <t>Информационная, образовательная и консультационная программы</t>
  </si>
  <si>
    <t>HC.6.2</t>
  </si>
  <si>
    <t>Программы иммунизации</t>
  </si>
  <si>
    <t>HC.6.5</t>
  </si>
  <si>
    <t xml:space="preserve">Программы надзора над инфекционными и не инфекционными заболеваниями, травмами и воздействие на среду здоровья </t>
  </si>
  <si>
    <t xml:space="preserve">HC.7 </t>
  </si>
  <si>
    <t xml:space="preserve">Администрирование, система здравоохранения и финансовое администрирование </t>
  </si>
  <si>
    <t xml:space="preserve">HC.7.1 </t>
  </si>
  <si>
    <t>HC.7.2</t>
  </si>
  <si>
    <t>Администрирование финансирования здравоохранения</t>
  </si>
  <si>
    <t>Прикладные научные исследования в области здравоохранения</t>
  </si>
  <si>
    <t xml:space="preserve">HP.1 </t>
  </si>
  <si>
    <t xml:space="preserve">HP.1.1 </t>
  </si>
  <si>
    <t xml:space="preserve">HP.1.1.1 </t>
  </si>
  <si>
    <t>HP.1.1.2</t>
  </si>
  <si>
    <t>HP.1.1.3</t>
  </si>
  <si>
    <t xml:space="preserve">HP.1.2 </t>
  </si>
  <si>
    <t xml:space="preserve">HP.1.2.1 </t>
  </si>
  <si>
    <t>HP.1.2.3</t>
  </si>
  <si>
    <t xml:space="preserve">HP.1.3 </t>
  </si>
  <si>
    <t>HP.1.3.1</t>
  </si>
  <si>
    <t>HP.1.3.2</t>
  </si>
  <si>
    <t>HP.1.3.3</t>
  </si>
  <si>
    <t>HP.1.3.4</t>
  </si>
  <si>
    <t>HP.1.3.5</t>
  </si>
  <si>
    <t>HP.1.3.6</t>
  </si>
  <si>
    <t>HP.1.3.7</t>
  </si>
  <si>
    <t>HP.1.3.8</t>
  </si>
  <si>
    <t>HP.1.3.9</t>
  </si>
  <si>
    <t>HP.1.3.10</t>
  </si>
  <si>
    <t>HP.1.3.11</t>
  </si>
  <si>
    <t>HP.1.3.12</t>
  </si>
  <si>
    <t xml:space="preserve">HP.2 </t>
  </si>
  <si>
    <t xml:space="preserve">HP.2.1 </t>
  </si>
  <si>
    <t xml:space="preserve">HP.2.1.1 </t>
  </si>
  <si>
    <t xml:space="preserve">HP.2.9 </t>
  </si>
  <si>
    <t xml:space="preserve">HP.2.9.1 </t>
  </si>
  <si>
    <t xml:space="preserve">HP.3 </t>
  </si>
  <si>
    <t xml:space="preserve">HP.3.1 </t>
  </si>
  <si>
    <t xml:space="preserve">HP.3.1.1 </t>
  </si>
  <si>
    <t xml:space="preserve">HP.3.2 </t>
  </si>
  <si>
    <t xml:space="preserve">HP.3.3 </t>
  </si>
  <si>
    <t xml:space="preserve">HP.3.4 </t>
  </si>
  <si>
    <t xml:space="preserve">HP.3.4.1 </t>
  </si>
  <si>
    <t xml:space="preserve">HP.3.4.4 </t>
  </si>
  <si>
    <t>HP.3.4.5</t>
  </si>
  <si>
    <t>HP.3.4.5.1</t>
  </si>
  <si>
    <t xml:space="preserve">HP.3.4.9 </t>
  </si>
  <si>
    <t xml:space="preserve">HP.3.4.9.1 </t>
  </si>
  <si>
    <t xml:space="preserve">HP.4 </t>
  </si>
  <si>
    <t xml:space="preserve">HP.4.1 </t>
  </si>
  <si>
    <t xml:space="preserve">HP.4.9 </t>
  </si>
  <si>
    <t xml:space="preserve">HP.5 </t>
  </si>
  <si>
    <t xml:space="preserve">HP.5.1 </t>
  </si>
  <si>
    <t xml:space="preserve">HP.5.2 </t>
  </si>
  <si>
    <t>HP.5.3</t>
  </si>
  <si>
    <t xml:space="preserve">HP.6 </t>
  </si>
  <si>
    <t xml:space="preserve">HP.7 </t>
  </si>
  <si>
    <t xml:space="preserve">HP.7.1 </t>
  </si>
  <si>
    <t>HP.7.1.1</t>
  </si>
  <si>
    <t>HP.7.1.2</t>
  </si>
  <si>
    <t>HP.7.3</t>
  </si>
  <si>
    <t>HP.7.4</t>
  </si>
  <si>
    <t xml:space="preserve">HP.8 </t>
  </si>
  <si>
    <t xml:space="preserve">HP.8.2 </t>
  </si>
  <si>
    <t xml:space="preserve">HP.8.2.1 </t>
  </si>
  <si>
    <t xml:space="preserve">HP.8.9 </t>
  </si>
  <si>
    <t xml:space="preserve">HP.9 </t>
  </si>
  <si>
    <t>HP.11</t>
  </si>
  <si>
    <t>HP.13</t>
  </si>
  <si>
    <t>Больничные организации</t>
  </si>
  <si>
    <t>Больницы общего профиля</t>
  </si>
  <si>
    <t xml:space="preserve">Больницы, оказывающие медицинские услуги на стационарном уровне </t>
  </si>
  <si>
    <t>Медицинские организации национальных компаний и холдингов (квазигосударственные организации)</t>
  </si>
  <si>
    <t>Больницы восстановительного лечения и реабилитационные центры</t>
  </si>
  <si>
    <t>Психиатрические больницы и больницы для лечения алкогольной или наркотической зависимости</t>
  </si>
  <si>
    <t>Психиатрическая больница/диспансер</t>
  </si>
  <si>
    <t>Наркологическая больница/диспансер/реабилитационные центры</t>
  </si>
  <si>
    <t>Специализированные больницы (кроме психиатрических больниц для лечения алкогольной или наркотической зависимости)</t>
  </si>
  <si>
    <t>Инфекционная больница</t>
  </si>
  <si>
    <t>Офтальмологическая больница</t>
  </si>
  <si>
    <t>Туберкулезная больница</t>
  </si>
  <si>
    <t>Противотуберкулезные  больницы и диспансеры</t>
  </si>
  <si>
    <t>Лепрозорий</t>
  </si>
  <si>
    <t>Кардиологический диспансер</t>
  </si>
  <si>
    <t>Кожно-венерологический диспансер</t>
  </si>
  <si>
    <t>Онкологические больницы и диспансеры</t>
  </si>
  <si>
    <t>Эндокринологический диспансер</t>
  </si>
  <si>
    <t>Перинатальные центры</t>
  </si>
  <si>
    <t>Противотуберкулезный санаторий</t>
  </si>
  <si>
    <t>Клиники НЦ, НИИ</t>
  </si>
  <si>
    <t>Учреждения длительного ухода</t>
  </si>
  <si>
    <t>Учреждения длительного сестринского ухода</t>
  </si>
  <si>
    <t>Больница сестринского ухода / Хоспис</t>
  </si>
  <si>
    <t>Другие учреждения длительного ухода</t>
  </si>
  <si>
    <t>Дома ребенка</t>
  </si>
  <si>
    <t>Поставщики амбулаторных медицинских услуг</t>
  </si>
  <si>
    <t>Лечебная практика</t>
  </si>
  <si>
    <t>Кабинеты врачей общей практики</t>
  </si>
  <si>
    <t>Стоматологические поликлиники/кабинеты</t>
  </si>
  <si>
    <t>Кабинеты других специалистов</t>
  </si>
  <si>
    <t>Центры амбулаторного лечения</t>
  </si>
  <si>
    <t>Центры планирования семьи и репродуктивного здоровья</t>
  </si>
  <si>
    <t>Центры гемодиализа</t>
  </si>
  <si>
    <t>Все прочие амбулаторные многопрофильные центры по предоставлению специализированной амбулаторно-поликлинической помощи</t>
  </si>
  <si>
    <t>Консультативно-диагностический центр/поликлиника</t>
  </si>
  <si>
    <t>Все прочие амбулаторные и медицинские центры по месту жительства</t>
  </si>
  <si>
    <t>Женская консультация</t>
  </si>
  <si>
    <t>Организации, предоставляющие дополнительные услуги</t>
  </si>
  <si>
    <t>Организации, предоставляющие услуги по транспортации пациентов и спасению жизни пациента в чрезвычайных ситуациях</t>
  </si>
  <si>
    <t>Прочие организации, предоставляющие дополнительные услуги</t>
  </si>
  <si>
    <t>Поставщики и розничные продавцы медицинских товаров</t>
  </si>
  <si>
    <t>Аптеки</t>
  </si>
  <si>
    <t>Организации розничных продаж и прочие поставщики медицинских товаров длительного пользования и медицинских приборов</t>
  </si>
  <si>
    <t>Организации, оказывающие профилактические услуги</t>
  </si>
  <si>
    <t xml:space="preserve">Организации управления здравоохранением </t>
  </si>
  <si>
    <t>Государственные учреждения управления здравоохранением</t>
  </si>
  <si>
    <t>Центральный орган</t>
  </si>
  <si>
    <t xml:space="preserve">Управление частного страхования здравоохранения </t>
  </si>
  <si>
    <t>Прочие учреждения</t>
  </si>
  <si>
    <t>Прочие сектора экономики</t>
  </si>
  <si>
    <t>Все прочие предприятия как организации, предоставляющие вторичную медицинскую помощь</t>
  </si>
  <si>
    <t>Учебные заведения</t>
  </si>
  <si>
    <t>Прочие предприятия</t>
  </si>
  <si>
    <t>Организации тип  предоставляемых услуг которых не определен</t>
  </si>
  <si>
    <t>База специального медицинского снабжения</t>
  </si>
  <si>
    <t>HP.3</t>
  </si>
  <si>
    <t>FS.6.</t>
  </si>
  <si>
    <t>FS.7.1</t>
  </si>
  <si>
    <t>HF.1.1.2.8</t>
  </si>
  <si>
    <t>HF.1.1.2.9</t>
  </si>
  <si>
    <t>FS.1</t>
  </si>
  <si>
    <t>Трансферты из государственных доходов</t>
  </si>
  <si>
    <t>Добровольное страхование</t>
  </si>
  <si>
    <t>FS.5</t>
  </si>
  <si>
    <t xml:space="preserve"> Прямые зарубежные содействия</t>
  </si>
  <si>
    <t>FS.7</t>
  </si>
  <si>
    <t>Прочие национальные доходы</t>
  </si>
  <si>
    <t>Прямые зарубежные финансовые трансферты</t>
  </si>
  <si>
    <t>Государственный сектор</t>
  </si>
  <si>
    <t>Негосударственный сектор</t>
  </si>
  <si>
    <t xml:space="preserve">Внешние источники финансирования </t>
  </si>
  <si>
    <t>Внешние источники финансирования</t>
  </si>
  <si>
    <t>Государственные средства</t>
  </si>
  <si>
    <t>Частные средства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</si>
  <si>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</si>
  <si>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</si>
  <si>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</si>
  <si>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Скорректированный бюджет на отчетный финансовый год1 </t>
  </si>
  <si>
    <t xml:space="preserve">Исполнение поступлениий бюджета и/или оплаченных обязательств по бюджетным программам (подпрограммам) </t>
  </si>
  <si>
    <t xml:space="preserve">Исп-е поступ-ий бюджета и/или оплач. обяз-в по бюдж. прогр. (подпрогр.)  к свод. плану  поступ-ий и финанс-ия  на отчет. период, % </t>
  </si>
  <si>
    <t xml:space="preserve">1 </t>
  </si>
  <si>
    <t>Итого</t>
  </si>
  <si>
    <t>05</t>
  </si>
  <si>
    <t>Здравоохранение</t>
  </si>
  <si>
    <t>1</t>
  </si>
  <si>
    <t>Больницы широкого профиля</t>
  </si>
  <si>
    <t>208</t>
  </si>
  <si>
    <t>008</t>
  </si>
  <si>
    <t>Медицинское обеспечение Вооруженных Сил</t>
  </si>
  <si>
    <t>2</t>
  </si>
  <si>
    <t>Охрана здоровья населения</t>
  </si>
  <si>
    <t>201</t>
  </si>
  <si>
    <t>111</t>
  </si>
  <si>
    <t>Проведение мероприятий в рамках реализации Государственной программы развития здравоохранения Республики Казахстан «Саламатты Қазақстан» на 2011-2015 годы</t>
  </si>
  <si>
    <t>225</t>
  </si>
  <si>
    <t>019</t>
  </si>
  <si>
    <t>Оздоровление, реабилитация и организация отдыха детей</t>
  </si>
  <si>
    <t>239</t>
  </si>
  <si>
    <t>Министерство здравоохранения и социального развития Республики Казахстан</t>
  </si>
  <si>
    <t>009</t>
  </si>
  <si>
    <t>Хранение специального медицинского резерва</t>
  </si>
  <si>
    <t>010</t>
  </si>
  <si>
    <t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</si>
  <si>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>100</t>
  </si>
  <si>
    <t>Обеспечение и расширение гарантированного объема бесплатной медицинской помощи, финансируемого за счет местного бюджета</t>
  </si>
  <si>
    <t>101</t>
  </si>
  <si>
    <t>Закуп лекарственных средств, вакцин и других иммунобиологических препаратов</t>
  </si>
  <si>
    <t>011</t>
  </si>
  <si>
    <t>Обеспечение гарантированного объема бесплатной медицинской помощи, за исключением направлений, финансируемых на местном уровне</t>
  </si>
  <si>
    <t>Оказание специализированной медицинской помощи</t>
  </si>
  <si>
    <t>Оказание высокоспециализированной медицинской помощи</t>
  </si>
  <si>
    <t>102</t>
  </si>
  <si>
    <t>Оказание медицинской помощи в форме санитарной авиации</t>
  </si>
  <si>
    <t>103</t>
  </si>
  <si>
    <t>Оказание услуг по производству крови, ее компонентов и препаратов</t>
  </si>
  <si>
    <t>104</t>
  </si>
  <si>
    <t>Пропаганда здорового образа жизни</t>
  </si>
  <si>
    <t>105</t>
  </si>
  <si>
    <t>Оказание медицинской помощи с применением инновационных медицинских технологий</t>
  </si>
  <si>
    <t>127</t>
  </si>
  <si>
    <t>Целевые текущие трансферты областным бюджетам, бюджетам городов Астаны и Алматы на реализацию социальных проектов на профилактику ВИЧ-инфекции среди лиц находящихся и освободившихся из мест лишения свободы в рамках реализации Государственной программы развития здравоохранения Республики Казахстан «Саламатты Қазақстан» на 2011-2015 годы</t>
  </si>
  <si>
    <t>240</t>
  </si>
  <si>
    <t>Министерство культуры и спорта Республики Казахстан</t>
  </si>
  <si>
    <t>243</t>
  </si>
  <si>
    <t>Министерство национальной экономики Республики Казахстан</t>
  </si>
  <si>
    <t>018</t>
  </si>
  <si>
    <t>Обеспечение санитарно-эпидемиологического благополучия населения</t>
  </si>
  <si>
    <t>Целевые текущие трансферты областным бюджетам, бюджетам городов Астаны и Алматы на обеспечение иммунопрофилактики населения</t>
  </si>
  <si>
    <t>694</t>
  </si>
  <si>
    <t>003</t>
  </si>
  <si>
    <t>Санитарно-эпидемиологическое благополучие населения на республиканском уровне</t>
  </si>
  <si>
    <t>004</t>
  </si>
  <si>
    <t>Оказание медицинской помощи отдельным категориям граждан</t>
  </si>
  <si>
    <t>9</t>
  </si>
  <si>
    <t>Прочие услуги в области здравоохранения</t>
  </si>
  <si>
    <t>014</t>
  </si>
  <si>
    <t>Услуги по лечению военнослужащих, сотрудников правоохранительных органов и членов их семей и по оказанию медицинской помощи пострадавшим от чрезвычайных ситуаций</t>
  </si>
  <si>
    <t>039</t>
  </si>
  <si>
    <t>Строительство и реконструкция объектов здравоохранения</t>
  </si>
  <si>
    <t>074</t>
  </si>
  <si>
    <t>Увеличение уставного капитала АО «Железнодорожные госпитали медицины катастроф»</t>
  </si>
  <si>
    <t>012</t>
  </si>
  <si>
    <t>Целевые текущие трансферты бюджету города Алматы на капитальный ремонт сейсмоусиляемых объектов здравоохранения</t>
  </si>
  <si>
    <t>013</t>
  </si>
  <si>
    <t>Целевые трансферты на развитие областным бюджетам, бюджетам городов Астаны и Алматы на строительство и реконструкцию объектов здравоохранения и областному бюджету Алматинской области, бюджету города Алматы для сейсмоусиления объектов здравоохранения</t>
  </si>
  <si>
    <t>016</t>
  </si>
  <si>
    <t>Капитальные расходы государственных организаций здравоохранения на республиканском уровне</t>
  </si>
  <si>
    <t>017</t>
  </si>
  <si>
    <t>Создание информационных систем здравоохранения</t>
  </si>
  <si>
    <t>020</t>
  </si>
  <si>
    <t>Реформирование системы здравоохранения</t>
  </si>
  <si>
    <t>За счет внешних займов</t>
  </si>
  <si>
    <t>За счет софинансирования внешних займов из республиканского бюджета</t>
  </si>
  <si>
    <t>021</t>
  </si>
  <si>
    <t>Внедрение международных стандартов в области больничного управления</t>
  </si>
  <si>
    <t>022</t>
  </si>
  <si>
    <t>Целевые текущие трансферты областным бюджетам, бюджетам городов Астаны и Алматы на материально-техническое оснащение медицинских организаций здравоохранения на местном уровне</t>
  </si>
  <si>
    <t>023</t>
  </si>
  <si>
    <t>Увеличение уставных капиталов акционерных обществ в области здравоохранения</t>
  </si>
  <si>
    <t>024</t>
  </si>
  <si>
    <t>Целевой вклад в АОО «Назарбаев Университет»</t>
  </si>
  <si>
    <t>Борьба с наркоманией и наркобизнесом</t>
  </si>
  <si>
    <t>129</t>
  </si>
  <si>
    <t>Целевые трансферты на развитие областным бюджетам на строительство врачебных амбулаторий и фельдшерского акушерских пунктов, расположенных в сельских населенных пунктах в рамках Дорожной карты занятости 2020</t>
  </si>
  <si>
    <t>005</t>
  </si>
  <si>
    <t>Техническое и информационное обеспечение медицинских организаций</t>
  </si>
  <si>
    <t>Капитальные расходы медицинских организаций Управления делами Президента Республики Казахстан</t>
  </si>
  <si>
    <t>Отчет об исполнении местного бюджета</t>
  </si>
  <si>
    <t>253</t>
  </si>
  <si>
    <t>Управление здравоохранения области</t>
  </si>
  <si>
    <t>Оказание стационарной и стационарозамещающей медицинской помощи субъектами здравоохранения по направлению специалистов первичной медико-санитарной помощи и медицинских организаций, за исключением оказываемой за счет средств республиканского бюджета и субъектами здравоохранения районного значения и села</t>
  </si>
  <si>
    <t>За счет трансфертов из республиканского бюджета</t>
  </si>
  <si>
    <t>015</t>
  </si>
  <si>
    <t>За счет средств местного бюджета</t>
  </si>
  <si>
    <t>353</t>
  </si>
  <si>
    <t>Управление здравоохранения города республиканского значения, столицы</t>
  </si>
  <si>
    <t>Оказание стационарной и стационарозамещающей медицинской помощи субъектам здравоохранения по направлению специалистов первичной медико-санитарной помощи и медицинских организаций, за исключением оказываемой за счет средств республиканского бюджета</t>
  </si>
  <si>
    <t>Производство крови, ее компонентов и препаратов для местных организаций здравоохранения</t>
  </si>
  <si>
    <t>006</t>
  </si>
  <si>
    <t>Услуги по охране материнства и детства</t>
  </si>
  <si>
    <t>007</t>
  </si>
  <si>
    <t>Реализация социальных проектов на профилактику ВИЧ-инфекции среди лиц находящихся и освободившихся из мест лишения свободы в рамках Государственной программы «Саламатты Қазақстан» на 2011-2015 годы</t>
  </si>
  <si>
    <t>Приобретение тест-систем для проведения дозорного эпидемиологического надзора</t>
  </si>
  <si>
    <t>3</t>
  </si>
  <si>
    <t>Специализированная медицинская помощь</t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</si>
  <si>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</t>
  </si>
  <si>
    <t>Обеспечение больных туберкулезом противотуберкулезными препаратами</t>
  </si>
  <si>
    <t>Обеспечение больных диабетом противодиабетическими препаратами</t>
  </si>
  <si>
    <t>Обеспечение онкогематологических больных химиопрепаратами</t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</si>
  <si>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почек</t>
  </si>
  <si>
    <t>026</t>
  </si>
  <si>
    <t>Обеспечение факторами свертывания крови больных гемофилией</t>
  </si>
  <si>
    <t>027</t>
  </si>
  <si>
    <t>Централизованный закуп и хранение вакцин и других медицинских иммунобиологических препаратов для проведения иммунопрофилактики населения</t>
  </si>
  <si>
    <t>036</t>
  </si>
  <si>
    <t>Обеспечение тромболитическими препаратами больных с острым инфарктом миокарда</t>
  </si>
  <si>
    <t>046</t>
  </si>
  <si>
    <t>Оказание медицинской помощи онкологическим больным в рамках гарантированного объема бесплатной медицинской помощи</t>
  </si>
  <si>
    <t>4</t>
  </si>
  <si>
    <t>Поликлиники</t>
  </si>
  <si>
    <t>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</t>
  </si>
  <si>
    <t>Лекарственное обеспечение детей до 5-летнего возраста на амбулаторном уровне лечения</t>
  </si>
  <si>
    <t>Обеспечение беременных железо-  и йодосодержащими препаратами</t>
  </si>
  <si>
    <t>Обеспечение лекарственными средствами детей и подростков, находящихся на диспансерном учете при амбулаторном лечении хронических заболеваний</t>
  </si>
  <si>
    <t>038</t>
  </si>
  <si>
    <t>Проведение скрининговых исследований в рамках гарантированного объема бесплатной медицинской помощи</t>
  </si>
  <si>
    <t>Оказание медицинской помощи населению субъектами здравоохранения районного значения и села и  амбулаторно-поликлинической помощи в рамках гарантированного объема бесплатной медицинской помощи</t>
  </si>
  <si>
    <t>045</t>
  </si>
  <si>
    <t>Обеспечение лекарственными средствами на льготных условиях отдельных категорий граждан на амбулаторном уровне лечения</t>
  </si>
  <si>
    <t>5</t>
  </si>
  <si>
    <t>Другие виды медицинской помощи</t>
  </si>
  <si>
    <t>Оказание скорой медицинской помощи и санитарная авиация, за исключением оказываемой за счет средств республиканского бюджета и субъектами здравоохранения районного значения и села</t>
  </si>
  <si>
    <t>029</t>
  </si>
  <si>
    <t>Областные базы спецмедснабжения</t>
  </si>
  <si>
    <t>Оказание скорой медицинской помощи и санитарная авиация, за исключением оказываемой за счет средств республиканского бюджета</t>
  </si>
  <si>
    <t>Базы спецмедснабжения города республиканского значения, столицы</t>
  </si>
  <si>
    <t>123</t>
  </si>
  <si>
    <t>Аппарат акима района в городе, города районного значения, поселка, села, сельского округа</t>
  </si>
  <si>
    <t>002</t>
  </si>
  <si>
    <t>Организация в экстренных случаях доставки тяжелобольных людей до ближайшей организации здравоохранения, оказывающей врачебную помощь</t>
  </si>
  <si>
    <t>001</t>
  </si>
  <si>
    <t>Услуги по реализации государственной политики на местном уровне в области здравоохранения</t>
  </si>
  <si>
    <t>Реализация мероприятий по профилактике и борьбе со СПИД в Республике Казахстан</t>
  </si>
  <si>
    <t>Проведение патологоанатомического вскрытия</t>
  </si>
  <si>
    <t>Обеспечение граждан бесплатным или льготным проездом за пределы населенного пункта на лечение</t>
  </si>
  <si>
    <t>Информационно-аналитические услуги в области здравоохранения</t>
  </si>
  <si>
    <t>Социальная поддержка медицинских и фармацевтических работников, направленных для работы в сельскую местность</t>
  </si>
  <si>
    <t>028</t>
  </si>
  <si>
    <t>Содержание вновь вводимых объектов здравоохранения</t>
  </si>
  <si>
    <t>030</t>
  </si>
  <si>
    <t>Капитальные расходы государственных органов здравоохранения</t>
  </si>
  <si>
    <t>033</t>
  </si>
  <si>
    <t>037</t>
  </si>
  <si>
    <t>Погашение кредиторской задолженности по обязательствам организаций здравоохранения за счет средств местного бюджета</t>
  </si>
  <si>
    <t>106</t>
  </si>
  <si>
    <t>Проведение мероприятий за счет чрезвычайного резерва местного исполнительного органа для ликвидации чрезвычайных ситуаций социального, природного и техногенного характера</t>
  </si>
  <si>
    <t>107</t>
  </si>
  <si>
    <t>Проведение мероприятий за счет резерва местного исполнительного органа на неотложные затраты</t>
  </si>
  <si>
    <t>108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</si>
  <si>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концессионных проектов, консультативное сопровождение концессионных проектов</t>
  </si>
  <si>
    <t>115</t>
  </si>
  <si>
    <t>Выполнение обязательств местных исполнительных органов по решениям судов  за счет средств резерва  местного исполнительного органа</t>
  </si>
  <si>
    <t>271</t>
  </si>
  <si>
    <t>Управление строительства области</t>
  </si>
  <si>
    <t>083</t>
  </si>
  <si>
    <t>281</t>
  </si>
  <si>
    <t>288</t>
  </si>
  <si>
    <t>Капитальные расходы государственного органа</t>
  </si>
  <si>
    <t xml:space="preserve"> Капитальные расходы медицинских организаций здравоохранения</t>
  </si>
  <si>
    <t>373</t>
  </si>
  <si>
    <t>Управление строительства города республиканского значения, столицы</t>
  </si>
  <si>
    <t>Сейсмоусиление объектов здравоохранения в городе Алматы</t>
  </si>
  <si>
    <t>Капитальный ремонт сейсмоусиляемых объектов здравоохранения в городе Алматы</t>
  </si>
  <si>
    <t>г.Алматы</t>
  </si>
  <si>
    <t>г.Астана</t>
  </si>
  <si>
    <t>3.4</t>
  </si>
  <si>
    <t>3.3</t>
  </si>
  <si>
    <t>3.2</t>
  </si>
  <si>
    <t>3.1</t>
  </si>
  <si>
    <t>2.4</t>
  </si>
  <si>
    <t>2.3</t>
  </si>
  <si>
    <t>2.2</t>
  </si>
  <si>
    <t>2.1</t>
  </si>
  <si>
    <t>1.4</t>
  </si>
  <si>
    <t>1.3</t>
  </si>
  <si>
    <t>1.2</t>
  </si>
  <si>
    <t>1.1</t>
  </si>
  <si>
    <t>лизинг</t>
  </si>
  <si>
    <t>3.18</t>
  </si>
  <si>
    <t>3.17</t>
  </si>
  <si>
    <t>3.16</t>
  </si>
  <si>
    <t>3.15</t>
  </si>
  <si>
    <t>3.14</t>
  </si>
  <si>
    <t>3.13</t>
  </si>
  <si>
    <t>3.12</t>
  </si>
  <si>
    <t>3.11</t>
  </si>
  <si>
    <t>3.10</t>
  </si>
  <si>
    <t>3.9</t>
  </si>
  <si>
    <t>3.8</t>
  </si>
  <si>
    <t>3.7</t>
  </si>
  <si>
    <t>3.6</t>
  </si>
  <si>
    <t>3.5</t>
  </si>
  <si>
    <t>2.5</t>
  </si>
  <si>
    <t>1.10</t>
  </si>
  <si>
    <t>1.9</t>
  </si>
  <si>
    <t>1.8</t>
  </si>
  <si>
    <t>1.7</t>
  </si>
  <si>
    <t>1.6</t>
  </si>
  <si>
    <t>1.5</t>
  </si>
  <si>
    <t>Наименование</t>
  </si>
  <si>
    <t>СМП</t>
  </si>
  <si>
    <t>ВСМП</t>
  </si>
  <si>
    <t>СЗП</t>
  </si>
  <si>
    <t>№</t>
  </si>
  <si>
    <t>иные виды (классы) страхования</t>
  </si>
  <si>
    <t>страхование судебных расходов</t>
  </si>
  <si>
    <t>титульное страхование</t>
  </si>
  <si>
    <t>страхование убытков финансовых организаций, за исключением классов, указанных в пунктах 3.11-3.14</t>
  </si>
  <si>
    <t>страхование от прочих финансовых убытков</t>
  </si>
  <si>
    <t>страхование гарантий и поручительств</t>
  </si>
  <si>
    <t>ипотечное страхование</t>
  </si>
  <si>
    <t>страхование займов</t>
  </si>
  <si>
    <t>страхование гражданско-правовой ответственности, за исключением классов, указанных в пунктах 3.7-3.9</t>
  </si>
  <si>
    <t>страхование гражданско-правовой ответственности владельцев водного транспорта</t>
  </si>
  <si>
    <t>страхование гражданско-правовой ответственности владельцев воздушного транспорта</t>
  </si>
  <si>
    <t>страхование гражданско-правовой ответственности владельцев автомобильного транспорта</t>
  </si>
  <si>
    <t>страхование имущества, за исключением пунктов 3.1-3.5</t>
  </si>
  <si>
    <t>страхование грузов</t>
  </si>
  <si>
    <t>страхование водного транспорта</t>
  </si>
  <si>
    <t>страхование воздушного транспорта</t>
  </si>
  <si>
    <t>страхование железнодорожного транспорта</t>
  </si>
  <si>
    <t>страхование автомобильного транспорта</t>
  </si>
  <si>
    <t>Добровольное имущественное страхование</t>
  </si>
  <si>
    <t>страхование на случай болезни</t>
  </si>
  <si>
    <t>страхование от несчастных случаев</t>
  </si>
  <si>
    <t>иные виды аннуитетного страхования</t>
  </si>
  <si>
    <t>договоры аннуитета, заключенные в соответствии с Законом Республики Казахстан от 7 февраля 2005 года «Об обязательном страховании работника от несчастных случаев при исполнении им трудовых (служебных) обязанностей»</t>
  </si>
  <si>
    <t>договоры пенсионного аннуитета, заключенные в соответствии с Законом Республики Казахстан от 20 июня 1997 года «О пенсионном обеспечении в Республике Казахстан»</t>
  </si>
  <si>
    <t>аннуитетное страхование, в том числе</t>
  </si>
  <si>
    <t>страхование жизни</t>
  </si>
  <si>
    <t>Добровольное личное страхование</t>
  </si>
  <si>
    <t>страхование работника от несчастных случаев при исполнении им трудовых (служебных) обязанностей</t>
  </si>
  <si>
    <t>гражданско-правовая ответственность владельцев объектов, деятельность которых связана с опасностью причинения вреда третьим лицам</t>
  </si>
  <si>
    <t>гражданско-правовая ответственность туроператора и турагента</t>
  </si>
  <si>
    <t>гражданско-правовая ответственность аудиторских организаций</t>
  </si>
  <si>
    <t>экологическое страхование</t>
  </si>
  <si>
    <t>страхование гражданско-правовой ответственности частных нотариусов</t>
  </si>
  <si>
    <t>страхование в растениеводстве</t>
  </si>
  <si>
    <t>гражданско-правовая ответственность перевозчика перед пассажирами</t>
  </si>
  <si>
    <t>гражданско-правовая ответственность владельцев транспортных средств</t>
  </si>
  <si>
    <t>Обязательное страхование</t>
  </si>
  <si>
    <t xml:space="preserve">в том числе </t>
  </si>
  <si>
    <t>в том числе</t>
  </si>
  <si>
    <t>Чистые расходы по осуществлению страховых выплат</t>
  </si>
  <si>
    <t>Наименование классов страхования</t>
  </si>
  <si>
    <t xml:space="preserve">№ </t>
  </si>
  <si>
    <t>(в тысячах тенге)</t>
  </si>
  <si>
    <t>по страховым (перестраховочным) организациям Республики Казахстан</t>
  </si>
  <si>
    <t>Сводный отчет о страховых выплатах</t>
  </si>
  <si>
    <t>Сводный отчет о страховых премиях</t>
  </si>
  <si>
    <t>Чистая сумма страховых премий</t>
  </si>
  <si>
    <t>2.2.1</t>
  </si>
  <si>
    <t>2.2.2</t>
  </si>
  <si>
    <t>2.2.3</t>
  </si>
  <si>
    <t>Отчет об исполнении государственного бюджета</t>
  </si>
  <si>
    <t xml:space="preserve">  </t>
  </si>
  <si>
    <t xml:space="preserve">Периодичность </t>
  </si>
  <si>
    <t xml:space="preserve">Единица измерения </t>
  </si>
  <si>
    <t xml:space="preserve">Утвержденный бюджет на отчетный финансовый год </t>
  </si>
  <si>
    <t xml:space="preserve">Уточненный бюджет на отчетный финансовый год </t>
  </si>
  <si>
    <t xml:space="preserve">Сводный план поступлений и финансирования по платежам, сводный план финансирования по обязательствам на отчетный период </t>
  </si>
  <si>
    <t xml:space="preserve">Принятые обязательства </t>
  </si>
  <si>
    <t xml:space="preserve">Неоплаченные обязательства </t>
  </si>
  <si>
    <t xml:space="preserve">Исп-е поступ-ий бюджета и/или оплач. обяз-ва по бюдж. прогр. (подпрогр.) к исполняемому бюджету, % </t>
  </si>
  <si>
    <t xml:space="preserve">по платежам </t>
  </si>
  <si>
    <t xml:space="preserve">по обязательствам </t>
  </si>
  <si>
    <t>Межсекторальное и межведомственное взаимодействие по вопросам охраны здоровья граждан</t>
  </si>
  <si>
    <t>06</t>
  </si>
  <si>
    <t>Социальная помощь и социальное обеспечение</t>
  </si>
  <si>
    <t>Социальное обеспечение</t>
  </si>
  <si>
    <t>256</t>
  </si>
  <si>
    <t>Управление координации занятости и социальных  программ области</t>
  </si>
  <si>
    <t>Предоставление специальных социальных услуг для престарелых, инвалидов, в том числе детей-инвалидов, в реабилитационных центрах</t>
  </si>
  <si>
    <t>261</t>
  </si>
  <si>
    <t>Управление образования области</t>
  </si>
  <si>
    <t>Социальное обеспечение сирот, детей, оставшихся без попечения родителей</t>
  </si>
  <si>
    <t>Детские дома</t>
  </si>
  <si>
    <t>Государственная поддержка по содержанию детей-сирот и детей, оставшихся без попечения родителей, в детских домах семейного типа и приемных семьях</t>
  </si>
  <si>
    <t>Приют для несовершеннолетних детей</t>
  </si>
  <si>
    <t>Детские деревни семейного типа</t>
  </si>
  <si>
    <t>Содержание ребенка (детей), переданного патронатным воспитателям</t>
  </si>
  <si>
    <t>Социальная реабилитация</t>
  </si>
  <si>
    <t>Строительство и реконструкция объектов социального обеспечения</t>
  </si>
  <si>
    <t>355</t>
  </si>
  <si>
    <t>Управление занятости и социальных программ города республиканского значения, столицы</t>
  </si>
  <si>
    <t>360</t>
  </si>
  <si>
    <t>Управление образования города республиканского значения, столицы</t>
  </si>
  <si>
    <t>Социальная помощь</t>
  </si>
  <si>
    <t>Оказание социальной помощи нуждающимся гражданам на дому</t>
  </si>
  <si>
    <t>Социальная поддержка инвалидов</t>
  </si>
  <si>
    <t>Дополнительные виды социальной помощи нуждающимся инвалидам</t>
  </si>
  <si>
    <t>Обеспечение санаторно-курортного лечения инвалидов и детей-инвалидов в соответствии с индивидуальной программой реабилитации инвалида</t>
  </si>
  <si>
    <t>Обеспечение инвалидов техническими вспомогательными (компенсаторными) средствами и (или) специальными средствами передвижения в соответствии с индивидуальной программой реабилитации инвалида</t>
  </si>
  <si>
    <t>Реабилитация инвалидов и ветеранов</t>
  </si>
  <si>
    <t>Предоставление медицинских услуг по протезированию, обеспечению протезно-ортопедическими средствами и обучению пользования ими</t>
  </si>
  <si>
    <t>Программа занятости</t>
  </si>
  <si>
    <t>Общественные работы</t>
  </si>
  <si>
    <t>Профессиональная подготовка и переподготовка безработных</t>
  </si>
  <si>
    <t>Дополнительные меры по социальной защите граждан в сфере занятости населения</t>
  </si>
  <si>
    <t>Государственная адресная социальная помощь</t>
  </si>
  <si>
    <t>Оказание жилищной помощи</t>
  </si>
  <si>
    <t>Социальная помощь отдельным категориям нуждающихся граждан по решениям местных представительных органов</t>
  </si>
  <si>
    <t>Материальное обеспечение детей-инвалидов, воспитывающихся и обучающихся на дому</t>
  </si>
  <si>
    <t>Государственные пособия на детей до 18 лет</t>
  </si>
  <si>
    <t>Обеспечение нуждающихся инвалидов обязательными гигиеническими средствами, предоставление социальных услуг индивидуального помощника для инвалидов первой группы, имеющих затруднение в передвижении, и специалиста жестового языка для инвалидов по слуху в соотвествии с индивидуальной программой реабилитации инвалида</t>
  </si>
  <si>
    <t>Социальная адаптация лиц, не имеющих определенного местожительства</t>
  </si>
  <si>
    <t>Обеспечение деятельности центров занятости</t>
  </si>
  <si>
    <t>Социальная поддержка обучающихся и воспитанников организаций образования очной формы обучения</t>
  </si>
  <si>
    <t>451</t>
  </si>
  <si>
    <t>Отдел занятости и социальных программ района (города областного значения)</t>
  </si>
  <si>
    <t>Оказание ритуальных услуг по захоронению умерших Героев Советского Союза, «Халық Қаһарманы», Героев Социалистического труда, награжденных Орденом Славы трех степеней и орденом «Отан» из числа участников и инвалидов войны</t>
  </si>
  <si>
    <t>Оказание социальной помощи на приобретение  топлива специалистам здравоохранения, образования, социального обеспечения, культуры, спорта и ветеринарии в сельской местности в соответствии с законодательством Республики Казахстан</t>
  </si>
  <si>
    <t>За счет трансфертов из областного бюджета</t>
  </si>
  <si>
    <t>За счет средств бюджета района (города областного значения)</t>
  </si>
  <si>
    <t>Социальная поддержка граждан, награжденных от 26 июля 1999 года орденами «Отан», «Данк», удостоенных высокого звания «Халық қаһарманы», почетных званий республики</t>
  </si>
  <si>
    <t>Территориальные центры социального обслуживания пенсионеров и инвалидов</t>
  </si>
  <si>
    <t>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</t>
  </si>
  <si>
    <t>Реализация программы за счет трансфертов из республиканского бюджета</t>
  </si>
  <si>
    <t>Реализация программы за счет средств местного бюджета</t>
  </si>
  <si>
    <t>Обеспечение деятельности центров занятости населения</t>
  </si>
  <si>
    <t>464</t>
  </si>
  <si>
    <t>Отдел образования района (города областного значения)</t>
  </si>
  <si>
    <t>Социальная поддержка обучающихся и воспитанников организаций образования очной формы обучения в виде льготного проезда на общественном транспорте (кроме такси) по решению местных представительных органов</t>
  </si>
  <si>
    <t>471</t>
  </si>
  <si>
    <t>Отдел образования, физической культуры и спорта района (города областного значения)</t>
  </si>
  <si>
    <t>Прочие услуги в области социальной помощи и социального обеспечения</t>
  </si>
  <si>
    <t>Обеспечение занятости населения на местном уровне</t>
  </si>
  <si>
    <t>044</t>
  </si>
  <si>
    <t>242</t>
  </si>
  <si>
    <t>Министерство по инвестициям и развитию Республики Казахстан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</si>
  <si>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</t>
  </si>
  <si>
    <t>Оплата услуг по зачислению, выплате и доставке пособий и других социальных выплат</t>
  </si>
  <si>
    <t>Размещение государственного социального заказа  в неправительственном секторе</t>
  </si>
  <si>
    <t>Реализация текущих мероприятий в рамках Дорожной карты занятости 2020</t>
  </si>
  <si>
    <t>Услуги лицам из групп риска, попавшим в сложную ситуацию вследствие насилия или угрозы насилия</t>
  </si>
  <si>
    <t>Реализация миграционных мероприятий на местном уровне</t>
  </si>
  <si>
    <t>Внедрение обусловленной денежной помощи по проекту Өрлеу</t>
  </si>
  <si>
    <t>067</t>
  </si>
  <si>
    <t>Капитальные расходы подведомственных государственных учреждений и организаций</t>
  </si>
  <si>
    <t>263</t>
  </si>
  <si>
    <t>Управление внутренней политики области</t>
  </si>
  <si>
    <t>077</t>
  </si>
  <si>
    <t>270</t>
  </si>
  <si>
    <t>Управление по инспекции труда области</t>
  </si>
  <si>
    <t>Услуги по реализации государственной политики в области регулирования трудовых отношений на местном уровне</t>
  </si>
  <si>
    <t>295</t>
  </si>
  <si>
    <t>Управление по контролю в сфере труда области</t>
  </si>
  <si>
    <t>297</t>
  </si>
  <si>
    <t>Управление труда области</t>
  </si>
  <si>
    <t>Создание информационных систем</t>
  </si>
  <si>
    <t>298</t>
  </si>
  <si>
    <t>Управление государственной инспекции труда области</t>
  </si>
  <si>
    <t>388</t>
  </si>
  <si>
    <t>Управление государственной инспекции труда и миграции города Алматы</t>
  </si>
  <si>
    <t>Услуги по реализации государственной политики в области миграции и регулирования трудовых отношений на местном уровне</t>
  </si>
  <si>
    <t>025</t>
  </si>
  <si>
    <t>050</t>
  </si>
  <si>
    <t>458</t>
  </si>
  <si>
    <t>Отдел жилищно-коммунального хозяйства, пассажирского транспорта и автомобильных дорог района (города областного значения)</t>
  </si>
  <si>
    <t>485</t>
  </si>
  <si>
    <t>Отдел пассажирского транспорта и автомобильных дорог района (города областного значения)</t>
  </si>
  <si>
    <t>490</t>
  </si>
  <si>
    <t>Отдел коммунального хозяйства, пассажирского транспорта и автомобильных дорог района (города областного значения)</t>
  </si>
  <si>
    <t>492</t>
  </si>
  <si>
    <t>Отдел жилищно-коммунального хозяйства, пассажирского транспорта, автомобильных дорог и жилищной инспекции района (города областного значения)</t>
  </si>
  <si>
    <t>Размещение государственного социального заказа в неправительственном секторе</t>
  </si>
  <si>
    <t>HF.1.1.1.16</t>
  </si>
  <si>
    <t>HF.1.1.1.17</t>
  </si>
  <si>
    <t>Подготовка специалистов в организациях технического и профессионального, послесреднего образования и оказание социальной поддержки обучающимся</t>
  </si>
  <si>
    <t>Повышение квалификации и переподготовка кадров государственных организаций здравоохранения</t>
  </si>
  <si>
    <t>Подготовка специалистов с высшим, послевузовским образованием и оказание социальной поддержки обучающимся</t>
  </si>
  <si>
    <t>Строительство и реконструкция объектов образования</t>
  </si>
  <si>
    <t>017+016+023+030</t>
  </si>
  <si>
    <t>Упр.здр.по компонентам</t>
  </si>
  <si>
    <t>Упр.здр.сводное</t>
  </si>
  <si>
    <t>Разница</t>
  </si>
  <si>
    <t>ЦТТ</t>
  </si>
  <si>
    <t>МБ</t>
  </si>
  <si>
    <t>Денежные расходы населения</t>
  </si>
  <si>
    <t xml:space="preserve"> </t>
  </si>
  <si>
    <t xml:space="preserve"> Всего</t>
  </si>
  <si>
    <t>соның ішінде</t>
  </si>
  <si>
    <t>Денежные расходы - всего</t>
  </si>
  <si>
    <t>Потребитель-ские расходы</t>
  </si>
  <si>
    <t>Материальная помощь родственникам, знакомым, алименты</t>
  </si>
  <si>
    <t>Налоги, платежи и другие выплаты</t>
  </si>
  <si>
    <t>Погашение кредита и долга</t>
  </si>
  <si>
    <t>Продоволь-ственные товары</t>
  </si>
  <si>
    <t>Непродоволь-ственные товары</t>
  </si>
  <si>
    <t>Платные услуги</t>
  </si>
  <si>
    <t>Республика 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</si>
  <si>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</si>
  <si>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</si>
  <si>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</si>
  <si>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</si>
  <si>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</si>
  <si>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</si>
  <si>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</si>
  <si>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</si>
  <si>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</si>
  <si>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</si>
  <si>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</si>
  <si>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</si>
  <si>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</t>
  </si>
  <si>
    <t>Павлодарская</t>
  </si>
  <si>
    <t>Северо-Казахстанская</t>
  </si>
  <si>
    <t>Восточно-Казахстанская</t>
  </si>
  <si>
    <t xml:space="preserve">Расходы домохозяйств  на здравоохранение </t>
  </si>
  <si>
    <t xml:space="preserve">По республике -
всего </t>
  </si>
  <si>
    <t>городская местность</t>
  </si>
  <si>
    <t>сельская местность</t>
  </si>
  <si>
    <t>Расходы на здравоохранение - всего</t>
  </si>
  <si>
    <t>Фармацевтическая продукция</t>
  </si>
  <si>
    <t>Прочая продукция медицинского назначения</t>
  </si>
  <si>
    <t>Лечебное оборудование и аппараты</t>
  </si>
  <si>
    <t xml:space="preserve">Медицинские услуги </t>
  </si>
  <si>
    <t>Стоматологические услуги</t>
  </si>
  <si>
    <t>Парамедицинские услуги</t>
  </si>
  <si>
    <t xml:space="preserve">Услуги больниц </t>
  </si>
  <si>
    <t>Неформальные расходы на здравоохранение</t>
  </si>
  <si>
    <t>в текущих ценах, млн. тенге</t>
  </si>
  <si>
    <t>Расходы на конечное потребление</t>
  </si>
  <si>
    <t>домашних хозяйств</t>
  </si>
  <si>
    <t xml:space="preserve">1.33 Халықтың денсаулық сақтау саласындағы шығыстары </t>
  </si>
  <si>
    <t xml:space="preserve">Расходы населения  на здравоохранение </t>
  </si>
  <si>
    <t>Есепті кезеңде, барлығы</t>
  </si>
  <si>
    <t>олардан</t>
  </si>
  <si>
    <t>ауруханалар</t>
  </si>
  <si>
    <t>жалпы дәрігерлік тәжірибе</t>
  </si>
  <si>
    <t>арнайы дәрігерлік тәжірибе</t>
  </si>
  <si>
    <t>стоматологиялық қызмет</t>
  </si>
  <si>
    <t>За отчетный год, всего</t>
  </si>
  <si>
    <t>из них</t>
  </si>
  <si>
    <t>больницы</t>
  </si>
  <si>
    <t>прочая деятельность по охране здоровья человека</t>
  </si>
  <si>
    <t>Ағымдағы табыстар</t>
  </si>
  <si>
    <t>Текущие доходы</t>
  </si>
  <si>
    <t>Ағымдағы трансферттер</t>
  </si>
  <si>
    <t>Текущие трансферты</t>
  </si>
  <si>
    <t>-</t>
  </si>
  <si>
    <t>Стоимость оказанных услуг и реализованных товаров, произведенных своими силами</t>
  </si>
  <si>
    <t>Чистый доход от перепродажи товаров (включая аукционы)</t>
  </si>
  <si>
    <t>Меншіктен алынған табыс</t>
  </si>
  <si>
    <t>Полученный доход от собственности</t>
  </si>
  <si>
    <t>Объем оказанных услуг в области здравоохранения и социального обслуживания населения</t>
  </si>
  <si>
    <t>Оказано услуг в области здравоохранения, всего</t>
  </si>
  <si>
    <t/>
  </si>
  <si>
    <t>Услуги больниц</t>
  </si>
  <si>
    <t>Услуги хирургических отделений больниц</t>
  </si>
  <si>
    <t>Услуги гинекологических отделений больниц и родильных домов</t>
  </si>
  <si>
    <t>Услуги центров реабилитации</t>
  </si>
  <si>
    <t>Услуги психиатрических больниц</t>
  </si>
  <si>
    <t>Услуги больниц, предоставляемые под контролем врачей прочие</t>
  </si>
  <si>
    <t>Услуги прочих больниц</t>
  </si>
  <si>
    <t>Услуги в области врачебной практики общей</t>
  </si>
  <si>
    <t>Услуги в области врачебной практики специализированной</t>
  </si>
  <si>
    <t>Услуги в области стоматологии</t>
  </si>
  <si>
    <t>Услуги по охране здоровья человека прочие</t>
  </si>
  <si>
    <t>Оказано услуг в области предоставления социальных услуг с обеспечением проживания, всего</t>
  </si>
  <si>
    <t>Услуги по уходу за больными с обеспечением проживания</t>
  </si>
  <si>
    <t>Услуги, связанные с проживанием лиц с умственными или физическими недостатками, психическими заболеваниями и наркологическими расстройствами</t>
  </si>
  <si>
    <t>Услуги, связанные с проживанием, для престарелых и инвалидов</t>
  </si>
  <si>
    <t>Услуги, связанные с проживанием, прочие</t>
  </si>
  <si>
    <t>Оказано услуг в области предоставления социальных услуг без обеспечения проживания, всего</t>
  </si>
  <si>
    <t>Услуги социальные без обеспечения проживания для престарелых и инвалидов</t>
  </si>
  <si>
    <t>Услуги по дневному уходу за детьми</t>
  </si>
  <si>
    <t>Услуги социальные без обеспечения проживания прочие, не включенные в другие группировки</t>
  </si>
  <si>
    <t>Одежда</t>
  </si>
  <si>
    <t>Мебель</t>
  </si>
  <si>
    <r>
      <rPr>
        <b/>
        <u/>
        <sz val="11"/>
        <color indexed="8"/>
        <rFont val="Times New Roman"/>
        <family val="1"/>
        <charset val="204"/>
      </rPr>
      <t>Регион: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Актюбинская область</t>
    </r>
  </si>
  <si>
    <t>Всего расходы, в тыс.тенге</t>
  </si>
  <si>
    <t>Регион: Алматинская обл</t>
  </si>
  <si>
    <t>Регион: Атырауская обл</t>
  </si>
  <si>
    <t>Скорая</t>
  </si>
  <si>
    <t>Инфекция</t>
  </si>
  <si>
    <t>Регион:ВКО</t>
  </si>
  <si>
    <t>Регион:  г.Алматы</t>
  </si>
  <si>
    <t>Регион:  Павлодарская</t>
  </si>
  <si>
    <t>ГКП на ПХВ "Кокшетауская городская больница" при управлении здравоохранения Акмолинской области</t>
  </si>
  <si>
    <t>ГКП на ПХВ "Городская поликлиника" при управлении здравоохранения Акмолинской области</t>
  </si>
  <si>
    <t>ГКП на ПХВ "Кокшетауская городская больница с поликлиникой №2" при управлении здравоохранения Акмолинской области</t>
  </si>
  <si>
    <t>ГКП на ПХВ "Областной кожно-венерологический диспансер" при управлении здравоохранения Акмолинской области</t>
  </si>
  <si>
    <t>ГКП на ПХВ "Степногорская центральная городская больница" при управлении здравоохранения Акмолинской области</t>
  </si>
  <si>
    <t>ГКП на ПХВ "Перинатальный центр" при управлении здравоохранения Акмолинской области</t>
  </si>
  <si>
    <t>ГКП на ПХВ "Акмолинская областная детская больница" при управлении здравоохранения Акмолинской области</t>
  </si>
  <si>
    <t>ГКП на ПХВ "Атбасарская ЦРБ"</t>
  </si>
  <si>
    <t>ГКП на ПХВ "Акмолинская областная больница" при управлении здравоохранения Акмолинской области</t>
  </si>
  <si>
    <t>ГКП на ПХВ "Степногорская городская поликлиника" при управлении здравоохранения Акмолинской области</t>
  </si>
  <si>
    <t>ГКП на ПХВ"Акмолинская областная больница №2" при управлении здравоохранения Акмолинской области</t>
  </si>
  <si>
    <t>ГКП на ПХВ "Поликлиника для ветеранов и инвалидов ВОВ" при УЗ Акмолинской области</t>
  </si>
  <si>
    <t>РГКП "Республиканский центр реабилитации для детей и подростков" МЗ РК</t>
  </si>
  <si>
    <t>ФАО "Железнодорожные госпитали медицины катастроф" - "Кокшетауская железнодорожная больница"</t>
  </si>
  <si>
    <t>РГКП "Республиканский центр реабилитации "Бурабай" МЗ РК</t>
  </si>
  <si>
    <t>Филиал товарищества с ограниченной ответственностью "Нефрос Азия" в г. Кокшетау</t>
  </si>
  <si>
    <t>ТОО "IDSenim" г.Кокшетау</t>
  </si>
  <si>
    <t>ГКП «Городская поликлиника №2» на праве хозяйственного ведения ГУ «Управление здравоохранения Актюбинской области»</t>
  </si>
  <si>
    <t>Государственное коммунальное предприятие «Областная детская клиническая больница»  на праве хозяйственного ведения ГУ «Управление здравоохранения Актюбинской области»</t>
  </si>
  <si>
    <t>Государственное коммунальное предприятие «Городская поликлиника №1» на праве хозяйственного ведения ГУ «Управление здравоохранения Актюбинской области»</t>
  </si>
  <si>
    <t>Государственное коммунальное предприятие "Городская поликлиника № 4" на праве хозяйственного ведения ГУ "Управление здравоохранения Актюбинской области"</t>
  </si>
  <si>
    <t>ГКП «Городская поликлиника №3» на праве хозяйственного ведения ГУ «Управление здравоохранения Актюбинской области»</t>
  </si>
  <si>
    <t>Республиканское государственное предприятие на праве хозяйственного ведения "Западно- Казахстанский государственный медицинский университет имени Марата Оспанова" с наблюдательным советом Министерства здравоохранения Республики Казахстан</t>
  </si>
  <si>
    <t>Государственное коммунальное предприятие "Городская детская клиническая больница" на праве хозяйственного ведения ГУ "Управление здравоохранения Актюбинской области"</t>
  </si>
  <si>
    <t>Филиал акционерного общества «Железнодорожные госпитали  медицины катастроф» - «Актюбинская железнодорожная больница»</t>
  </si>
  <si>
    <t>Медицинское учреждение «Медикус центр»</t>
  </si>
  <si>
    <t>Государственное коммунальное предприятие «Каргалинская городская больница» на праве хозяйственного ведения ГУ «Управление здравоохранения Актюбинской области»</t>
  </si>
  <si>
    <t>ГКП "Актюбинский областной консультативно – диагностический центр" на праве хозяйственного ведения ГУ "Управление здравоохранения Актюбинской области"</t>
  </si>
  <si>
    <t>Государственное коммунальное предприятие «Областной перинатальный центр» на праве хозяйственного ведения ГУ «Управление здравоохранения Актюбинской области»</t>
  </si>
  <si>
    <t>Актюбинский филиал ТОО «Медицинский центр Евразия»</t>
  </si>
  <si>
    <t>ТОО «Биос»</t>
  </si>
  <si>
    <t>ГКП «Больница скорой медицинской помощи» на праве хозяйственного ведения ГУ «Управление здравоохранения Актюбинской области»</t>
  </si>
  <si>
    <t>Западно-Казахстанский филиал РГКП «Национальный центр гигиены труда и профессиональных заболеваний» МЗ РК</t>
  </si>
  <si>
    <t>ГКП "Областной кожно-венерологический диспансер" на праве хозяйственного ведения ГУ "Управление здравоохранения Актюбинской области"</t>
  </si>
  <si>
    <t>ТОО "РЕАБИЛИТАЦИОННЫЙ МЕДИЦИНСКИЙ ЦЕНТР"КЛИНИКА ДАРУ"</t>
  </si>
  <si>
    <t>Государственное коммунальное предприятие "Актюбинская областная больница" на праве хозяйственного ведения Государственного Учреждения "Управление Здравоохранения Актюбинской области"</t>
  </si>
  <si>
    <t>Актюбинский филиал Товарищества с ограниченной ответственностью "Нефрос Азия"</t>
  </si>
  <si>
    <t>Государственное коммунальное предприятие на праве хозяйственного ведения  "Талдыкорганская городская поликлиника" государственного учреждения "Управление здравоохранения Алматинской области" акимата Алматинской области</t>
  </si>
  <si>
    <t>ГКП на ПХВ "Областная детская больница" ГУ "Управление здравоохранения Алматинской области" акимата Алматинской области</t>
  </si>
  <si>
    <t>ГКП на ПХВ "Капшагайская городская больница" ГУ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</si>
  <si>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"Жаркентский родильный дом" ГУ "Управление здравоохранения Алматинской области"</t>
  </si>
  <si>
    <t>Государственное казенное предприятие "Городская больница г.Текели"</t>
  </si>
  <si>
    <t>Государственное коммунальное предприятие на праве хозяйственного ведения  "Областная больница города Талдыкорган" государственного учреждения "Управление здравоохранения Акима Алматинской области акимата Алматинской области</t>
  </si>
  <si>
    <t>Государственное коммунальное предприятие на праве хозяйственного ведения "Есикский родильный дом"  государственного учреждения "Управление здравоохранения Алматинской области"</t>
  </si>
  <si>
    <t>Государственное коммунальное предприятие на праве хозяйственного ведения"Алматинская многопрофильная клиническая больница" государственного учреждения "Управление здравоохранения акима Алматинской области" акимата Алматинской области</t>
  </si>
  <si>
    <t>Государственное коммунальное предприятие на праве хозяйственного ведения "Талдыкорганская городская больница"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</si>
  <si>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предприятие на праве хозяйственного ведения "Алматинский областной кожно-венерологический диспансер" государственного учреждения "Управления здравоохранения Алматинской области"</t>
  </si>
  <si>
    <t>ГККП "Областной перинатальный центр г.Талдыкорган"</t>
  </si>
  <si>
    <t>Государственное коммунальное предприятие на праве хозяйственного ведения "Областной кардиологический центр" государственного учреждения "Управление здравоохранения Алматинской области" акимата Алматинской области</t>
  </si>
  <si>
    <t>Государственное коммунальное казенное предприятие "Талдыкорганский кожно-венерологический диспансер"</t>
  </si>
  <si>
    <t>Негосударственное учреждение Медицинский центр "Нур-Авиценум", г. Талдыкорган</t>
  </si>
  <si>
    <t>Товарищество с ограниченной ответственностью "ЗИРЕ"</t>
  </si>
  <si>
    <t>ТОО "Алматинский клинический центр профессора Мустафаева С.У." Карасайский район</t>
  </si>
  <si>
    <t>Государственное коммунальное предприятие на праве хозяйственного ведения "Алматинская региональная детская клиническая больница" государственного учреждения "Управление здравоохранения Алматинской области"</t>
  </si>
  <si>
    <t>Филиал ТОО "Медицинский центр ХАК"</t>
  </si>
  <si>
    <t>Товарищество с ограниченной ответственностью "IDSenim"</t>
  </si>
  <si>
    <t>ТОО  "IDSenim" г.Каскелен</t>
  </si>
  <si>
    <t>ТОО "Жаркент-Дауа"</t>
  </si>
  <si>
    <t>ГКП на ПХВ "Городская поликлиника №2" Управления здравоохранения города Алматы</t>
  </si>
  <si>
    <t>ГКП на праве хозяйственнного ведения "Городской родильный дом №2" Управления здравоохранения города Алматы</t>
  </si>
  <si>
    <t>ГКП на ПХВ "Городской родильный дом №1" УЗ г. Алматы</t>
  </si>
  <si>
    <t>ГККП "Городская поликлиника №18" Управления здравоохранения города Алматы</t>
  </si>
  <si>
    <t>ГККП "Детская городская клиническая больница №2", УЗ г.Алматы</t>
  </si>
  <si>
    <t>ГКП на ПХВ "Городская поликлиника №17" Управления здравоохренния города Алматы</t>
  </si>
  <si>
    <t>ГКП на ПХВ "Городская поликлиника №1" Управления здравоохранения города Алматы</t>
  </si>
  <si>
    <t>ГКП на ПХВ "Городская поликлиника №11" Управления здравоохранения города Алматы</t>
  </si>
  <si>
    <t>Государственное  коммунальное казенное предприятие "Городской родильный дом №5" Управления здравоохранения города Алматы</t>
  </si>
  <si>
    <t>РГП на ПХВ "Казахский научно-исследовательский институт онкологии и радиологии" МЗ РК</t>
  </si>
  <si>
    <t>ГКП на ПХВ "Городская поликлиника №8" Управления здравоохранения города Алматы</t>
  </si>
  <si>
    <t>ГККП "Городская поликлиника №22" Управления здравоохранения города Алматы</t>
  </si>
  <si>
    <t>ГКП на ПХВ "Городская поликлиника №25" Управления здравоохранения города Алматы</t>
  </si>
  <si>
    <t>ГККП "Городская поликлиника №12" Управления здравоохранения города Алматы</t>
  </si>
  <si>
    <t>ГКП "Городская клиническая больница №5" на ПХВ Управления здравоохранения города Алматы</t>
  </si>
  <si>
    <t>ГКП на ПХВ "Городская поликлиника №3" Управления здравоохранения города Алматы</t>
  </si>
  <si>
    <t>ГКП на ПХВ "Городская студенческая поликлиника" Управления здравоохранения  города Алматы</t>
  </si>
  <si>
    <t>ГККП "Городская поликлиника №13" Управления здравоохранения города Алматы</t>
  </si>
  <si>
    <t>ГКП на ПХВ "Городская поликлиника №6" Управления здравоохранения города Алматы</t>
  </si>
  <si>
    <t>ГКП "Городская клиническая больница №7" на ПХВ Управления здравоохранения города Алматы</t>
  </si>
  <si>
    <t>ГКП на ПХВ "Городская поликлиника №19" Управления здравоохранения города Алматы</t>
  </si>
  <si>
    <t>ГККП "Городская поликлиника №14" Управления здравоохранения города Алматы</t>
  </si>
  <si>
    <t>ГККП "Центр первичной медико-санитарной помощи "Кулагер" УЗ города Алматы</t>
  </si>
  <si>
    <t>ГККП "Городская поликлиника №10" Управления здравоохранения города Алматы</t>
  </si>
  <si>
    <t>ГКП на ПХВ "Городская поликлиника ВОВ" Управления здравоохранения  города Алматы</t>
  </si>
  <si>
    <t>ГКП на ПХВ "Городская поликлиника №9"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</si>
  <si>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№15" Управления здравоохранения города Алматы</t>
  </si>
  <si>
    <t>ГККП "Городская поликлиника № 5" Управления здравоохранения города Алматы</t>
  </si>
  <si>
    <t>ГКП на ПХВ "Городская поликлиника №4" Управления здравоохранения города Алматы</t>
  </si>
  <si>
    <t>Филиал АО "Железнодорожного госпитали медицины катастроф" - Алматинская железнодорожная больница</t>
  </si>
  <si>
    <t>ГККП "Городская больница "Алатау" Управления здравоохранения города Алматы</t>
  </si>
  <si>
    <t>ГККП "Городская поликлиника №21" Управления здравоохранения города Алматы</t>
  </si>
  <si>
    <t>ГКП на ПХВ "Городская поликлиника №20" Управления здравоохранения города Алматы</t>
  </si>
  <si>
    <t>ГКП на ПХВ "Городская больница скорой неотложной помощи" Управления здравоохранения города Алматы</t>
  </si>
  <si>
    <t>ГКП "Городская клиническая больница №4" на ПХВ Управления здравоохранения города Алматы</t>
  </si>
  <si>
    <t>ТОО "Медицинская компания Сункар"</t>
  </si>
  <si>
    <t>ГКП "Городской перинатальный центр" на ПХВ Управления здравоохранения города Алматы</t>
  </si>
  <si>
    <t>ГКП на ПХВ "Центр детской неотложной медицинской помощи" Управления здравоохранения города Алматы</t>
  </si>
  <si>
    <t>ГКП на ПХВ "Городской кардиологический центр" Управления здравоохранения города Алматы</t>
  </si>
  <si>
    <t>РГП на ПХВ "Научный центр акушерства, гинекологии и перинатологии" МЗ РК</t>
  </si>
  <si>
    <t>АО "Казахский  ордена "ЗНАК ПОЧЕТА" научно-исследовательский институт глазных болезней"</t>
  </si>
  <si>
    <t>ГКП на ПХВ "Городской ревматологический центр" Управления здравоохранения города Алматы</t>
  </si>
  <si>
    <t>Государственное коммунальное предприятие "Городской родильный дом №4" на праве хозяйственного ведения Управления здравоохранения города Алматы</t>
  </si>
  <si>
    <t>АО "Научный центр урологии им. академика Б.У. Джарбусынова"</t>
  </si>
  <si>
    <t>РГП на ПХВ "Республиканский научно-практический центр психиатрии, психотерапии и наркологии" МЗ РК</t>
  </si>
  <si>
    <t>РГКП "Республиканский детский реабилитационный центр "Балбулак" МЗ РК</t>
  </si>
  <si>
    <t>АО "Санаторий "Казахстан"</t>
  </si>
  <si>
    <t>ГКП "Городская клиническая больница №1" на ПХВ Управления здравоохранения города Алматы</t>
  </si>
  <si>
    <t>ГКП на ПХВ "Центр перинатологии и детской кардиохирургии" Управления здравоохранения города Алматы</t>
  </si>
  <si>
    <t>ГКП "Центральная городская клиническая больница" на ПХВ Управления здравоохранения города Алматы</t>
  </si>
  <si>
    <t>РГП на ПХВ "Научно-исследовательский кожно-венерологический институт" МЗ РК</t>
  </si>
  <si>
    <t>РГП на ПХВ "Научно-исcледовательский институт кардиологии и внутренних болезней" МЗ РК</t>
  </si>
  <si>
    <t>РГКП "Республиканский детский клинический санаторий "Алатау" МЗ РК</t>
  </si>
  <si>
    <t>РГП на ПХВ "Казахский национальный медицинский университет имени С.Д.Асфендиярова" МЗ РК</t>
  </si>
  <si>
    <t>РГП "Центральная клиническая больница Медицинского центр Управления Делами Президента Республики Казахстан" на праве хозяйственного ведения</t>
  </si>
  <si>
    <t>ГКП на ПХВ "Лечебно-диагностический центр" Управления здравоохранения города Алматы</t>
  </si>
  <si>
    <t>ГКП на ПХВ "Кожно-венерологический диспансер" Управления здравоохранения  города Алматы</t>
  </si>
  <si>
    <t>АО "Национальный научный центр хирургии им. А.Н.Сызганова"</t>
  </si>
  <si>
    <t>ТОО "Медицинский центр "ХАК"</t>
  </si>
  <si>
    <t>РГКП "Национальный центр проблем туберкулеза РК"  МЗ РК</t>
  </si>
  <si>
    <t>Филиал АО "Железнодорожные госпитали медицины катастроф"-"Учебно-клинический центр"</t>
  </si>
  <si>
    <t>РГКП "Республиканский клинический госпиталь для инвалидов отечественной войны" МЗ РК</t>
  </si>
  <si>
    <t>АО "Санаторий "Алматы" МЦ УДП РК</t>
  </si>
  <si>
    <t>ТОО "Burc Medical" (Бурч Медикал)</t>
  </si>
  <si>
    <t>ГКП "Городской центр репродукции человека" на ПХВ Управления здравоохранения города Алматы</t>
  </si>
  <si>
    <t>ГКП на ПХВ "Региональный диагностический центр" Управления здравоохранения  города Алматы</t>
  </si>
  <si>
    <t>ТОО "Институт репродуктивной медицины"</t>
  </si>
  <si>
    <t>ТОО "Private clinic Almaty"</t>
  </si>
  <si>
    <t>ТОО "Центр ЭКО"</t>
  </si>
  <si>
    <t>ТОО "Достар Мед А"</t>
  </si>
  <si>
    <t>ТОО "АРКТУР 8"</t>
  </si>
  <si>
    <t>Товарищество с ограниченной ответственностью "Лечебно-оздоровительный центр "ТимАл"</t>
  </si>
  <si>
    <t>ТОО "Фрезениус Медикал Кейр Казахстан"</t>
  </si>
  <si>
    <t>ТОО Медициналық орталық "Ревматология аурулары"</t>
  </si>
  <si>
    <t>Товарищество Ограниченной Ответственностью "Медицинский центр "Zere"</t>
  </si>
  <si>
    <t>ТОО "МЦ"MedLine"</t>
  </si>
  <si>
    <t>ТОО "Достар Мед"</t>
  </si>
  <si>
    <t>ТОО "Жасанды буйрек"</t>
  </si>
  <si>
    <t>ГККП "Городская поликлиника №24", УЗ г.Алматы</t>
  </si>
  <si>
    <t>ГКП на ПХВ "Городская поликлиника №23" Управления здравоохранения города Алматы</t>
  </si>
  <si>
    <t>ТОО "Медицинская компания "Зейн"</t>
  </si>
  <si>
    <t>ТОО "Центр медицинской помощи"</t>
  </si>
  <si>
    <t>ТОО "Нефрос Азия"</t>
  </si>
  <si>
    <t>ТОО "Prime Clinic"</t>
  </si>
  <si>
    <t>ГКП на ПХВ «Городская поликлиника №1» ГУ "Управление здравоохранения города Астаны"</t>
  </si>
  <si>
    <t>РГП на ПХВ «Научно-исследовательский институт травматологии и ортопедии» МЗСР РК</t>
  </si>
  <si>
    <t>ГКП на ПХВ «Городская больница №2» акимата города Астаны</t>
  </si>
  <si>
    <t>ГКП на ПХВ «Городская поликлиника № 6» акимата города Астаны</t>
  </si>
  <si>
    <t>ГКП на ПХВ «Городская детская больница №1» акимата города Астаны</t>
  </si>
  <si>
    <t>АО «Национальный научный медицинский центр»</t>
  </si>
  <si>
    <t>ГКП на ПХВ «Городская поликлиника №2» акимата города Астаны"</t>
  </si>
  <si>
    <t>ГКП на ПХВ «Городская поликлиника № 7» акимата города Астаны</t>
  </si>
  <si>
    <t>ГКП на ПХВ «Городская поликлиника №4» акимата города Астаны</t>
  </si>
  <si>
    <t>ГКП на ПХВ "Городская поликлиника №5" акимата города Астаны</t>
  </si>
  <si>
    <t>ГКП на ПХВ «Городская поликлиника № 8» акимата города Астаны</t>
  </si>
  <si>
    <t>ГКП на ПХВ «Городская детская больница №2» акимата города Астаны</t>
  </si>
  <si>
    <t>АО "Национальный научный центр онкологии и трансплантологии"</t>
  </si>
  <si>
    <t>ГКП на ПХВ «Перинатальный центр № 2» акимата города Астаны</t>
  </si>
  <si>
    <t>ГКП на ПХВ "Перинатальный центр №3" акимата города Астаны</t>
  </si>
  <si>
    <t>ФАО «Железнодорожные госпитали медицины катастроф» - «Центральная дорожная больница»</t>
  </si>
  <si>
    <t>ГКП на ПХВ "Перинатальный центр №1" акимата города Астаны</t>
  </si>
  <si>
    <t>ГКП на ПХВ «Городская поликлиника № 3» акимата города Астаны</t>
  </si>
  <si>
    <t>ГКП на ПХВ "Городская больница №1" ГУ "Управление здравоохранения  города Астаны"</t>
  </si>
  <si>
    <t>ГКП на ПХВ "Учебно-практический центр семейной медицины "Демеу" акимата города Астаны</t>
  </si>
  <si>
    <t>СВА "Кировская"</t>
  </si>
  <si>
    <t>АО «Национальный научный центр материнства и детства»</t>
  </si>
  <si>
    <t>ТОО "Астана Эколайф"</t>
  </si>
  <si>
    <t>АО «Республиканский научный центр нейрохирургии»</t>
  </si>
  <si>
    <t>ТОВАРИЩЕСТВО С ОГРАНИЧЕННОЙ ОТВЕТСТВЕННОСТЬЮ "МЕДИЦИНСКИЙ ЦЕНТР МУА"</t>
  </si>
  <si>
    <t>АО "Национальный научный кардиохирургический центр"</t>
  </si>
  <si>
    <t>ТОО "Многопрофильный медицинский центр "Мейірім"</t>
  </si>
  <si>
    <t>ГКП на ПХВ «Центр дерматологии и профилактики болезней, передающихся половым путем города Астана» Управления здравоохранения города Астана</t>
  </si>
  <si>
    <t>Республиканское государственное предприятие "Больница медицинского центра управления делами Президента Республики Казахстан" на праве хозяйственного ведения</t>
  </si>
  <si>
    <t>РГКП «Центральный клинический госпиталь для инвалидов Отечественной войны» МЗ РК</t>
  </si>
  <si>
    <t>АО «Республиканский детский реабилитационный центр»</t>
  </si>
  <si>
    <t>ТОО «ЦЕНТР РЕАБИЛИТАЦИИ»</t>
  </si>
  <si>
    <t>ТОО «Интертич Астана Медицинский Ассистанс»</t>
  </si>
  <si>
    <t>ТОО "ТАЛМАС МЕДИКУС"</t>
  </si>
  <si>
    <t>АО «Казахский орден «Знак Почета» научно-исследовательский институт глазных болезней»</t>
  </si>
  <si>
    <t>АО "Республиканский диагностический центр", г.Астана</t>
  </si>
  <si>
    <t>АО "Железнодорожные госпитали медицины катастроф"</t>
  </si>
  <si>
    <t>Товарищество с ограниченной ответственностью "Салауатты Астана"</t>
  </si>
  <si>
    <t>ТОО "Медицинская клиника "Центр гемодиализа"</t>
  </si>
  <si>
    <t>ГКП на ПХВ "Центр первичной медико-санитарной помощи "Шапағат" акимата города Астаны</t>
  </si>
  <si>
    <t>ТОО "Health Clinic"</t>
  </si>
  <si>
    <t>ТОО "Astana vision"</t>
  </si>
  <si>
    <t>ТОВАРИЩЕСТВО С ОГРАНИЧЕННОЙ ОТВЕТСТВЕННОСТЬЮ "САМҰРЫҚМЕДҚЫЗМЕТ"</t>
  </si>
  <si>
    <t>ТОО" B.B.NURA" - "Центр амбулаторного диализа"</t>
  </si>
  <si>
    <t>ГКП на ПХВ "Городская поликлиника №10" акимата г.Астаны</t>
  </si>
  <si>
    <t>Коммунальное государственное предприятие на праве хозяйственного ведения "Атырауская городская поликлиника №5" Управления здравоохранения Атырауской области</t>
  </si>
  <si>
    <t>Коммунальное государственное предприятие "Атырауская городская поликлиника №2"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</si>
  <si>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№3"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</si>
  <si>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№7" Управления здравоохранения Атырауской области</t>
  </si>
  <si>
    <t>Коммунальное государственное предприятие на праве хозяйственного ведения "Атырауская городская поликлиника №4" Управления здравоохранения Атырауской области</t>
  </si>
  <si>
    <t>Коммунальное государственное предприятие "Атырауская городская поликлиника №1"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</si>
  <si>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детская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</si>
  <si>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кардиологический центр"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</si>
  <si>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</si>
  <si>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"Атырауская областная офтальмологическая больница" Управления здравоохранения Атырауской области</t>
  </si>
  <si>
    <t>Коммунальное государственное предприятие на праве хозяйственного ведения "Атырауский областной кожно-венерологический диспансер" Управления здравоохранения Атырауской области</t>
  </si>
  <si>
    <t>Филиал акционерного общества "Железнодорожные госпитали медицины катастроф" - "Атырауская железнодорожная больница"</t>
  </si>
  <si>
    <t>Коммунальное государственное предприятие на праве хозяйственного ведения "Атырауский областной родильный дом" Управления здравоохранения Атырауской области"</t>
  </si>
  <si>
    <t>Коммунальное государственное предприятие на праве хозяйственного ведения  "Атырауский городской родильный дом" Управления здравоохранения Атырауской области</t>
  </si>
  <si>
    <t>Товарищество с ограниченной ответственностью "Достар Мед Престиж"</t>
  </si>
  <si>
    <t>Филиал Товарищества с oграниченной ответственностью "OPEN CLINIC"</t>
  </si>
  <si>
    <t>КГП на ПХВ "Городская больница № 2 города Семей" УЗ ВКО акимата</t>
  </si>
  <si>
    <t>Филиал акционерного общества "Железнодорожные госпитали медицины катастроф" -"Защитинская железнодорожная больница"</t>
  </si>
  <si>
    <t>КГП на ПХВ "Поликлиника №2 г. Семей" УЗ ВКО</t>
  </si>
  <si>
    <t>КГП на ПХВ "Врачебная амбулатория №17 города Семей" УЗ ВКО</t>
  </si>
  <si>
    <t>КГП на ПХВ "Городская поликлиника №2 г. Усть-Каменогорска"</t>
  </si>
  <si>
    <t>Филиал АО "ЖГМК" -  "Семейская железнодорожная больница"</t>
  </si>
  <si>
    <t>КГП на ПХВ "Поликлиника №1 г. Семей" УЗ ВКО</t>
  </si>
  <si>
    <t>КГП на ПХВ  "Поликлиника №3  города Семей" УЗ ВКО</t>
  </si>
  <si>
    <t>КГП на ПХВ "Городская больница г. Серебрянска Зыряновского района" УЗ ВКО акимата</t>
  </si>
  <si>
    <t>КГП на ПХВ "Шульбинская врачебная амбулатория" УЗ ВКО</t>
  </si>
  <si>
    <t>КГП на ПХВ "Центр матери и ребенка" УЗ ВКО акимата_</t>
  </si>
  <si>
    <t>КГП на ПХВ "Поликлиника №4 г. Семей" УЗ ВКО</t>
  </si>
  <si>
    <t>КГП на ПХВ "Курчатовская городская больница" УЗ ВКО</t>
  </si>
  <si>
    <t>КГКП "Поликлиника №5 смешанного типа г. Семей"</t>
  </si>
  <si>
    <t>КГП на ПХВ "Риддерская городская больница" УЗ ВКО акимата</t>
  </si>
  <si>
    <t>КГКП "Больница скорой медицинской помощи города Семей" УЗ ВКО акимата</t>
  </si>
  <si>
    <t>КГП на ПХВ "Городская больница №3 города Усть-Каменогорск" УЗ ВКО</t>
  </si>
  <si>
    <t>КГП на ПХВ "Врачебная амбулатория №5 г. Семей" УЗ ВКО</t>
  </si>
  <si>
    <t>КГП на ПХВ  "ЦРБ Зыряновского района" УЗ ВКО</t>
  </si>
  <si>
    <t>КГП на ПХВ "Усть-Каменогорская городская больница №1" УЗ ВКО акимата</t>
  </si>
  <si>
    <t>КГП на ПХВ "Восточно-Казахстанская областная больница" УЗ ВКО акимата</t>
  </si>
  <si>
    <t>РГП на ПХВ "Государственный мед-кий университет г. Семей" МЗСР РК</t>
  </si>
  <si>
    <t>Учреждение "Почечный центр" (г.Семей)</t>
  </si>
  <si>
    <t>КГП на ПХВ "Родильный дом № 3" города Семей УЗ ВКО</t>
  </si>
  <si>
    <t>Учреждение "Офтальмохирургия"</t>
  </si>
  <si>
    <t>Учреждение "Частная многопрофильная клиника "Венера"</t>
  </si>
  <si>
    <t>Товарищество с ограниченной ответственностью "Медико-санитарная часть-2"</t>
  </si>
  <si>
    <t>КГП на ПХВ "Перинатальный центр города Семей" УЗ ВКО</t>
  </si>
  <si>
    <t>Учреждение "Жамиля"</t>
  </si>
  <si>
    <t>КГП на ПХВ "Родильный дом №2 города Семей" УЗ ВКО</t>
  </si>
  <si>
    <t>Коммунальное государственное предприятие на праве хозяйственного ведения "Консультативно-диагностический центр города Семей" управления здравоохранения Восточно-Казахстанского областного акимата_</t>
  </si>
  <si>
    <t>Республиканское государственное казенное предприятие «Научно-исследовательский институт радиационной медицины и экологии» Министерства здравоохранения Республики Казахстан (г.Семей)</t>
  </si>
  <si>
    <t>Медицинское учреждение "Центральная смотровая поликлиника" (г.Семей)</t>
  </si>
  <si>
    <t>Учреждение Поликлиника "Хаким"</t>
  </si>
  <si>
    <t>КГП на ПХВ "Кожно-венерологический диспансер города Семей" УЗ ВКО акимата</t>
  </si>
  <si>
    <t>КГП на ПХВ "ВК областной кожно-венерологический диспансер" УЗ ВКО акимата</t>
  </si>
  <si>
    <t>"Медицинское Учреждение "Женская консультация" (г.Семей)</t>
  </si>
  <si>
    <t>Учреждение "Амбулаторный центр" (г.Усть-Каменогорск)</t>
  </si>
  <si>
    <t>Товарищество с ограниченной ответственностью  «Клиника микрохирургии глаза» г.Усть-Каменогорск</t>
  </si>
  <si>
    <t>Представительство ТОО "B.B.NURA" "ЦАД г.Усть-Каменогорск"</t>
  </si>
  <si>
    <t>Медицинское учреждение "Поликлиника № 6 смешанного типа</t>
  </si>
  <si>
    <t>Представительство ТОО "B.B.NURA" "ЦАД г. Семей"</t>
  </si>
  <si>
    <t>КГКП "Городская больница №4 г. Усть-Каменогорска" УЗ ВКО</t>
  </si>
  <si>
    <t>ГКП НА ПХВ "ГОРОДСКАЯ ПОЛИКЛИНИКА № 2 УПРАВЛЕНИЯ ЗДРАВООХРАНЕНИЯ АКИМАТА ЖАМБЫЛСКОЙ ОБЛАСТИ"</t>
  </si>
  <si>
    <t>ГКП на ПХВ "Городская поликлиника № 9" управления здравоохранения акимата Жамбылской области</t>
  </si>
  <si>
    <t>ГКП НА ПХВ "ГОРОДСКАЯ ПОЛИКЛИНИКА № 4 УПРАВЛЕНИЯ ЗДРАВООХРАНЕНИЯ АКИМАТА ЖАМБЫЛСКОЙ ОБЛАСТИ"</t>
  </si>
  <si>
    <t>ГКП НА ПХВ "ГОРОДСКАЯ ПОЛИКЛИНИКА № 5 УПРАВЛЕНИЯ ЗДРАВООХРАНЕНИЯ АКИМАТА ЖАМБЫЛСКОЙ ОБЛАСТИ"</t>
  </si>
  <si>
    <t>ГКП НА ПХВ "ГОРОДСКАЯ ПОЛИКЛИНИКА № 1 УПРАВЛЕНИЯ ЗДРАВООХРАНЕНИЯ АКИМАТА ЖАМБЫЛСКОЙ ОБЛАСТИ"</t>
  </si>
  <si>
    <t>ГКП НА ПХВ "ГОРОДСКАЯ ДЕТСКАЯ БОЛЬНИЦА №1" УПРАВЛЕНИЯ ЗДРАВООХРАНЕНИЯ АКИМАТА ЖАМБЫЛСКОЙ ОБЛАСТИ"</t>
  </si>
  <si>
    <t>Учреждение "Медицинский центр "Мейірім"</t>
  </si>
  <si>
    <t>ГКП НА ПХВ "ШУСКАЯ ГОРОДСКАЯ ПОЛИКЛИНИКА УПРАВЛЕНИЯ ЗДРАВООХРАНЕНИЯ АКИМАТА ЖАМБЫЛСКОЙ ОБЛАСТИ"</t>
  </si>
  <si>
    <t>ГКП НА ПХВ "ГОРОДСКАЯ ПОЛИКЛИНИКА № 7 УПРАВЛЕНИЯ ЗДРАВООХРАНЕНИЯ АКИМАТА ЖАМБЫЛСКОЙ ОБЛАСТИ"</t>
  </si>
  <si>
    <t>ГКП НА ПХВ  "ГОРОДСКАЯ ПОЛИКЛИНИКА № 6 УПРАВЛЕНИЯ ЗДРАВООХРАНЕНИЯ АКИМАТА ЖАМБЫЛСКОЙ ОБЛАСТИ"</t>
  </si>
  <si>
    <t>ГКП НА ПХВ "ЖАМБЫЛСКАЯ ОБЛАСТНАЯ ДЕТСКАЯ БОЛЬНИЦА УПРАВЛЕНИЯ ЗДРАВООХРАНЕНИЯ АКИМАТА ЖАМБЫЛСКОЙ ОБЛАСТИ"</t>
  </si>
  <si>
    <t>ГКП НА  ПХВ "ГОРОДСКОЙ ПЕРИНАТАЛЬНЫЙ ЦЕНТР УПРАВЛЕНИЯ ЗДРАВООХРАНЕНИЯ АКИМАТА ЖАМБЫЛСКОЙ ОБЛАСТИ"</t>
  </si>
  <si>
    <t>ГКП НА ПХВ "ГОРОДСКАЯ БОЛЬНИЦА № 1"УПРАВЛЕНИЯ ЗДРАВООХРАНЕНИЯ АКИМАТА ЖАМБЫЛСКОЙ ОБЛАСТИ"</t>
  </si>
  <si>
    <t>ГКП НА ПХВ "ЖАМБЫЛСКАЯ ОБЛАСТНАЯ БОЛЬНИЦА УПРАВЛЕНИЯ ЗДРАВООХРАНЕНИЯ АКИМАТА ЖАМБЫЛСКОЙ ОБЛАСТИ"</t>
  </si>
  <si>
    <t>ГКП НА ПХВ "ГОРОДСКАЯ ПОЛИКЛИНИКА № 3 УПРАВЛЕНИЯ ЗДРАВООХРАНЕНИЯ АКИМАТА ЖАМБЫЛСКОЙ ОБЛАСТИ"</t>
  </si>
  <si>
    <t>ГКП НА ПХВ "ГОРОДСКАЯ БОЛЬНИЦА №2" УПРАВЛЕНИЯ ЗДРАВООХРАНЕНИЯ АКИМАТА ЖАМБЫЛСКОЙ ОБЛАСТИ"</t>
  </si>
  <si>
    <t>ГКП НА ПХВ "ШУСКАЯ ГОРОДСКАЯ БОЛЬНИЦА УПРАВЛЕНИЯ ЗДРАВООХРАНЕНИЯ АКИМАТА ЖАМБЫЛСКОЙ ОБЛАСТИ"</t>
  </si>
  <si>
    <t>ГКП НА ПХВ "ЖАМБЫЛСКИЙ ОБЛАСНОЙ КОНСУЛЬТАТИВНО -ДИАГНОСТИЧЕСКИЙ МЕДИЦИНСКИЙ ЦЕНТР УПРАВЛЕНИЯ ЗДРАВООХРАНЕНИЯ АКИМАТА ЖАМБЫЛСКОЙ ОБЛАСТИ"</t>
  </si>
  <si>
    <t>ГКП НА ПХВ "ЖАМБЫЛСКИЙ ОБЛАСТНОЙ ПЕРИНАТАЛЬНЫЙ ЦЕНТР УПРАВЛЕНИЯ ЗДРАВООХРАНЕНИЯ АКИМАТА ЖАМБЫЛСКОЙ ОБЛАСТИ"</t>
  </si>
  <si>
    <t>ГКП НА ПХВ "ЖАМБЫЛСКИЙ ОБЛАСТНОЙ ОФТАЛЬМОЛОГИЧЕСКИЙ ЦЕНТР УПРАВЛЕНИЯ ЗДРАВООХРАНЕНИЯ АКИМАТА ЖАМБЫЛСКОЙ ОБЛАСТИ"</t>
  </si>
  <si>
    <t>Учреждение "Лечебный центр "Брак и семья"</t>
  </si>
  <si>
    <t>ГКП НА ПХВ "ЖАМБЫЛСКИЙ ОБЛАСТНОЙ КОЖНОВЕНЕРОЛОГИЧЕСКИЙ ДИСПАНСЕР УПРАВЛЕНИЯ ЗДРАВООХРАНЕНИЯ АКИМАТА ЖАМБЫЛСКОЙ ОБЛАСТИ"</t>
  </si>
  <si>
    <t>Учреждение "Лечебный центр "ЭСКУЛАП"</t>
  </si>
  <si>
    <t>Учреждение "Центр урологии и новых технологий доктора Жумагалиева"</t>
  </si>
  <si>
    <t>Учреждение "Клиника доктора Азимханова"</t>
  </si>
  <si>
    <t>Учреждение "Лечебный центр доктора Кученева"</t>
  </si>
  <si>
    <t>ФИЛИАЛ  АКЦИОНЕРНОГО ОБЩЕСТВА " ЖЕЛЕЗНОДОРОЖНЫЕ ГОСПИТАЛИ  МЕДИЦИНЫ КАТАСТРОФ ""ЖАМБЫЛСКАЯ ЖЕЛЕЗНОДОРОЖНАЯ БОЛЬНИЦА "</t>
  </si>
  <si>
    <t>ТОВАРИЩЕСТВО С ОГРАНИЧЕННОЙ ОТВЕТСТВЕННОСТЬЮ "НАУЧНО-КЛИНИЧЕСКИЙ ЦЕНТР КАРДИОХИРУРГИИ И ТРАНСПЛАНТОЛОГИИ "</t>
  </si>
  <si>
    <t>ТОО Медицинский центр "БРАК И СЕМЬЯ"</t>
  </si>
  <si>
    <t>ТОО "Лечебно-оздоровительный центр "Самал"</t>
  </si>
  <si>
    <t>ТОО "ТОРГОВЫЙ ДОМ "GOOD LOOK"</t>
  </si>
  <si>
    <t>ТОО "Кардиохирургическая клиника "Жүрек"</t>
  </si>
  <si>
    <t>Государственное коммунальное предприятие на праве хозяйственного ведения "Городская поликлиника №1" управления здравоохранения акимата Западно-Казахстанской области</t>
  </si>
  <si>
    <t>Государственное коммунальное предприятие "Городская поликлиника №4" на праве хозяйственного ведения Управления здравоохранения акимата Западно-Казахстанской области</t>
  </si>
  <si>
    <t>ГКП на ПХВ "Городская поликлиника №3" управления здравоохранения акимата ЗКО</t>
  </si>
  <si>
    <t>Государственное коммунальное предприятие "Городская поликлиника №2" на праве хозяйственного ведения управления здравоохранения акимата Западно-Казахстанской области</t>
  </si>
  <si>
    <t>Товарищество с ограниченной ответственностью "Медицинский центр"</t>
  </si>
  <si>
    <t>Государственное коммунальное предприятие на праве хозяйственного ведения "Областная клиническая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</si>
  <si>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"Областная детская многопрофильная больница"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</si>
  <si>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перинатальный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</si>
  <si>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кардиологический центр"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</si>
  <si>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кожно-венерологический диспансер" управления здравоохранения акимата Западно-Казахстанской области</t>
  </si>
  <si>
    <t>Акционерное общество "Талап"</t>
  </si>
  <si>
    <t>Государственное коммунальное предприятие на праве хозяйственного ведения "Городской родильный дом"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</si>
  <si>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"Городская поликлиника №5" Управления здравоохранения акимата Западно-Казахстанской области</t>
  </si>
  <si>
    <t>Государственное коммунальное предприятие на праве хозяйственного ведения "Областной консультативно-диагностический центр" Управления здравоохранения Акимата Западно-Казахстанской области</t>
  </si>
  <si>
    <t>Филиал Товарищество с ограниченной ответственностью "Нефрос Азия" в городе Уральск</t>
  </si>
  <si>
    <t>Государственное коммунальное предприятие на праве хозяйственного ведения "Городская поликлиника №6" управления здравоохранения акимата Западно-Казахстанской области</t>
  </si>
  <si>
    <t>Коммунальное государственное предприятие "Поликлиника № 5 города Караганды" управления здравоохранения Карагандинской области</t>
  </si>
  <si>
    <t>Коммунальное государственное предприятие "Поликлиника № 4 города Караганды" управления здравоохранения Карагандинской области</t>
  </si>
  <si>
    <t>Коммунальное государственное предприятие "Поликлиника № 4 города Темиртау" управления здравоохранения Карагандинской области</t>
  </si>
  <si>
    <t>Коммунальное государственное предприятие "Поликлиника №1 города Караганды" управления здравоохранения Карагандинской области</t>
  </si>
  <si>
    <t>Коммунальное государственное предприятие "Поликлиника № 1 города Балхаш" управления здравоохранения Карагандинской области</t>
  </si>
  <si>
    <t>Товарищество с ограниченной ответственностью "Городской центр первичной медико-санитарной помощи"</t>
  </si>
  <si>
    <t>Коммунальное государственное предприятие "Областная детская клиническая больница" управления здравоохранения Карагандинской области</t>
  </si>
  <si>
    <t>Коммунальное государственное  предприятие "Поликлиника города Сатпаев" управления здравоохранения  Карагандинской области</t>
  </si>
  <si>
    <t>Коммунальное государственное казенное предприятие "Больница поселка Саяк" управления здравоохранения Карагандинской области</t>
  </si>
  <si>
    <t>Товарищество с ограниченной ответственностью "Байменова"</t>
  </si>
  <si>
    <t>Коммунальное государственное предприятие "Поликлиника №2 города Темиртау" управления здравоохранения Карагандинской области</t>
  </si>
  <si>
    <t>Коммунальное государственное предприятие "Городская больница №1 г. Караганды" управления здравоохранения Карагандинской области</t>
  </si>
  <si>
    <t>ТОО "Кожахметов"</t>
  </si>
  <si>
    <t>Коммунальное государственное предприятие "Поликлиника № 3 города Балхаш" управления здравоохранения Карагандинской области</t>
  </si>
  <si>
    <t>Коммунальное государственное предприятие "Перинатальный центр города Жезказган" управления здравоохранения Карагандинской области</t>
  </si>
  <si>
    <t>Коммунальное государственное предприятие "Поликлиника города Шахтинск" акимата Карагандинской области управления здравоохранения Карагандинской области</t>
  </si>
  <si>
    <t>Товарищество с ограниченной ответственностью "Кошумбаева"</t>
  </si>
  <si>
    <t>Коммунальное государственное предприятие "Поликлиника № 3 города Караганды"  управления здравоохранения Карагандинской области</t>
  </si>
  <si>
    <t>Коммунальное государственное предприятие "Областной центр травматологии и ортопедии имени профессора Х.Ж. Макажанова" Управления здравоохранения Карагандинской области</t>
  </si>
  <si>
    <t>Коммунальное государственное предприятие "Центральная больница города Абая" управления здравоохранения Карагандинской области</t>
  </si>
  <si>
    <t>Коммунальное государственное предприятие "Поликлиника №1 города Темиртау" управления здравоохранения Карагандинской области</t>
  </si>
  <si>
    <t>Товарищество с ограниченной ответственностью "Абильдинова"</t>
  </si>
  <si>
    <t>Коммунальное государственное  предприятие "Центральная больница г.Шахтинск" акимата Карагандинской области управления здравоохранения Карагандинской области</t>
  </si>
  <si>
    <t>Коммунальное государственное предприятие "Поликлиника № 2 города Караганды" управления здравоохранения Карагандинской области</t>
  </si>
  <si>
    <t>Коммунальное государственное предприятие "Детская больница города Темиртау"  управления здравоохранения Карагандинской области</t>
  </si>
  <si>
    <t>Коммунальное государственное предприятие "Центральная больница города Жезказган" управления здравоохранения Карагандинской области</t>
  </si>
  <si>
    <t>Коммунальное государственное предприятие "Детская больница города Караганды" управления здравоохранения Карагандинской области</t>
  </si>
  <si>
    <t>Товарищество с ограниченной ответственностью "Тильман"</t>
  </si>
  <si>
    <t>Товарищество с ограниченной ответственностью "Лекерова"</t>
  </si>
  <si>
    <t>Товарищество с ограниченной ответственностью "Ахметова"</t>
  </si>
  <si>
    <t>Коммунальное государственное предприятие "Родильный дом города Караганды" управления здравоохранения Карагандинской области</t>
  </si>
  <si>
    <t>Коммунальное государственное предприятие "Центральная больница города Приозерск"  управления здравоохранения Карагандинской области</t>
  </si>
  <si>
    <t>Коммунальное государственное  предприятие "Центральная больница города Темиртау"  управления здравоохранения Карагандинской области</t>
  </si>
  <si>
    <t>Коммунальное государственное казенное предприятие "Центральная больница № 1 г.Сатпаев" акимата Карагандинской области управления здравоохранения Карагандинской области</t>
  </si>
  <si>
    <t>Товарищество с ограниченной ответственностью "Макенбаева"</t>
  </si>
  <si>
    <t>Коммунальное государственное предприятие "Центральная больница г.Каражал"  управления здравоохранения Карагандинской области</t>
  </si>
  <si>
    <t>Коммунальное государственное предприятие "Поликлиника № 2 города Балхаш" управления здравоохранения Карагандинской области</t>
  </si>
  <si>
    <t>Коммунальное государственное предприятие "Областной перинатальный центр" управления здравоохранения Карагандинской области</t>
  </si>
  <si>
    <t>Товарищество с ограниченной ответственностью "Журек"</t>
  </si>
  <si>
    <t>Коммунальное государственное предприятие "Областной кардиохирургический центр" управления здравоохранения Карагандинской области</t>
  </si>
  <si>
    <t>Коммунальное государственное предприятие "Областная клиническая больница" управления здравоохранения Карагандинской области</t>
  </si>
  <si>
    <t>Товарищество с ограниченной ответственностью "Бексейтова Н.А."</t>
  </si>
  <si>
    <t>Коммунальное государственное предприятие "Центральная больница г.Балхаш" управления здравоохранения Карагандинской области</t>
  </si>
  <si>
    <t>Коммунальное государственное  предприятие "Центральная больница г.Сарани"  управления здравоохранения Карагандинской области</t>
  </si>
  <si>
    <t>Коммунальное государственное предприятие "Родильный дом города Темиртау" управления здравоохранения Карагандинской области</t>
  </si>
  <si>
    <t>Производственный кооператив "Каратал"</t>
  </si>
  <si>
    <t>Филиал акционерного общества "Железнодорожные госпитали медицины катастроф" - "Карагандинская железнодорожная больница"</t>
  </si>
  <si>
    <t>Товарищество с ограниченной ответственностью "Медицинский центр Жезказган"</t>
  </si>
  <si>
    <t>Товарищество с ограниченной ответственностью "Региональный акушерско-гинекологический центр"</t>
  </si>
  <si>
    <t>Коммунальное государственное предприятие "Областная челюстно-лицевая больница" Управления здравоохранения Карагандинской области</t>
  </si>
  <si>
    <t>Коммунальное государственное предприятие "Областной медицинский центр" управления здравоохранения Карагандинской области</t>
  </si>
  <si>
    <t>Коммунальное государственное предприятие "Областной кожно-венерологический диспансер" управления здравоохранения Карагандинской области</t>
  </si>
  <si>
    <t>Республиканское государственное казенное предприятие «Национальный центр гигиены труда и профессиональных заболеваний» Министерства здравоохранения и социального развития Республики Казахстан</t>
  </si>
  <si>
    <t>Товарищество с ограниченной ответственностью "Медицинская фирма "Мерей"</t>
  </si>
  <si>
    <t>Товарищество с ограниченной ответственностью  "Медицинская фирма "Гиппократ"</t>
  </si>
  <si>
    <t>Товарищество с ограниченной ответственностью «B.B.NURA»</t>
  </si>
  <si>
    <t>Товарищество с ограниченной ответственностью «ID Senim» (г.Караганда)</t>
  </si>
  <si>
    <t>Товарищество с ограниченной ответственностью "Клиника профессора С.В.Лохвицкого"</t>
  </si>
  <si>
    <t>Коммунальное государственное казенное предприятие «Поликлиника города Жезказган» управления здравоохранения Карагандинской области</t>
  </si>
  <si>
    <t>ТОО "Центр микрохирургии глаза"</t>
  </si>
  <si>
    <t>ТОО "СИМУР"</t>
  </si>
  <si>
    <t>Республиканское государственное  предприятие на праве хозяйственного ведения "Карагандинский государственный медицинский университет" Министерства здравоохранения и социального развития Республики Казахстан</t>
  </si>
  <si>
    <t>Товарищество с ограниченной ответственностью "Офтальмологический центр микрохирургии"</t>
  </si>
  <si>
    <t>Филиал Товарищества с ограниченной ответственностью "Нефрос Азия" в городе Караганда</t>
  </si>
  <si>
    <t>Товарищество с ограниченной ответственностью "BeneDial"</t>
  </si>
  <si>
    <t>Коммунальное государственное предприятие "Поликлиника №2 города Костанай" Управления здравоохранения акимата Костанайской области</t>
  </si>
  <si>
    <t>Коммунальное государственное предприятие "Поликлиника №1 города Костанай" Управления здравоохранения акимата Костанайской области</t>
  </si>
  <si>
    <t>Коммунальное государственное предприятие "Поликлиника №4 города Костанай" Управления здравоохранения акимата Костанайской области</t>
  </si>
  <si>
    <t>Коммунальное государственное предприятие "Лисаковская городская поликлиника" Управления здравоохранения акимата Костанайской области</t>
  </si>
  <si>
    <t>Коммунальное государственное предприятие "Поликлиника №3 города Костанай" Управления здравоохранения акимата Костанайской области</t>
  </si>
  <si>
    <t>Коммунальное государственное предприятие "Рудненская городская детская больница" Управления здравоохранения акимата Костанайской области</t>
  </si>
  <si>
    <t>Филиал акционерного общества "Железнодорожные госпитали медицины катастроф"-"Костанайская железнодорожная больница"</t>
  </si>
  <si>
    <t>Коммунальное государственное предприятие "Костанайская областная больница" Управления здравоохранения акимата Костанайской области</t>
  </si>
  <si>
    <t>Коммунальное государственное предприятие "Рудненская городская поликлиника" Управления здравоохранения акимата Костанайской области</t>
  </si>
  <si>
    <t>Коммунальное государственное предприятие "Рудненская городская больница" Управления здравоохранения акимата Костанайской области</t>
  </si>
  <si>
    <t>ГККП "Качарская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</si>
  <si>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</si>
  <si>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"Костанайская городская детская больница" Управления здравоохранения акимата Костанайской области</t>
  </si>
  <si>
    <t>Коммунальное  государственное предприятие "Аркалыкская региональная больница" Управления здравоохранения акимата Костанайской области</t>
  </si>
  <si>
    <t>Коммунальное государственное предприятие "Лисаковская городская больница" Управления здравоохранения акимата Костанайской области</t>
  </si>
  <si>
    <t>Коммунальное государственное предприятие "Костанайский перинатальный центр" Управления здравоохранения акимата Костанайской области</t>
  </si>
  <si>
    <t>Государственное коммунальное предприятие на праве хозяйственного ведения  "Костанайская областная офтальмологическая больница" Управления здравоохранения акимата Костанайской области</t>
  </si>
  <si>
    <t>Товарищество с ограниченной ответственностью "Аксим плюс"</t>
  </si>
  <si>
    <t>КГП "Аркалыкский родильный дом" Управления здравоохранения акимата Костанайской области</t>
  </si>
  <si>
    <t>Коммунальное государственное предприятие "Костанайская областная детская больница" Управления здравоохранения акимата Костанайской области</t>
  </si>
  <si>
    <t>Коммунальное государственное предприятие «Рудненский перинатальный центр» Управления здравоохранения акимата Костанайской области</t>
  </si>
  <si>
    <t>Государственное коммунальное предприятие на праве хозяйственного ведения  "Костанайский областной кожно-венерологический диспансер" Управления здравоохранения акимата Костанайской области</t>
  </si>
  <si>
    <t>ТОО "БИОС"</t>
  </si>
  <si>
    <t>Товарищество с ограниченной ответственностью "Костанайский хирургический центр"</t>
  </si>
  <si>
    <t>Филиал Товарищества с ограниченной ответственностью "Нефрос Азия" в городе Костанай</t>
  </si>
  <si>
    <t>Товарищество с ограниченной ответственностью "Торговый дом "GOOD LOOK" г. Костанай</t>
  </si>
  <si>
    <t>ГККП "Кызылординская областная детская больница с консультативно-диагностической поликлиникой" управления здравоохранения Кызылординской области</t>
  </si>
  <si>
    <t>ГКП на ПХВ "Городская поликлиника №1" управления здравоохранения Кызылординской области</t>
  </si>
  <si>
    <t>ГКП на ПХВ "Городская поликлиника №6" управления здравоохранения Кызылординской области</t>
  </si>
  <si>
    <t>ГКП на ПХВ "Городская поликлиника №4" управления здравоохранения Кызылординской области</t>
  </si>
  <si>
    <t>Филиал АО "Железнодорожные госпитали медицины катастроф"-"Кызылординская железнодорожная больница"</t>
  </si>
  <si>
    <t>ГКП на ПХВ "Кызылординская городская больница" управления здравоохранения Кызылординской области</t>
  </si>
  <si>
    <t>ГКП на ПХВ "Городская поликлиника №5" управления здравоохранения Кызылординской области</t>
  </si>
  <si>
    <t>ГКП на ПХВ "Городская поликлиника №2" управления здравоохранения Кызылординской области</t>
  </si>
  <si>
    <t>ТОО "Сеним"</t>
  </si>
  <si>
    <t>ГККП "Кызылординский городской родильный дом" управления здравоохранения Кызылординской области</t>
  </si>
  <si>
    <t>ГКП на ПХВ "Областной медицинский центр" управления здравоохранения Кызылординской области</t>
  </si>
  <si>
    <t>ГКП на ПХВ "Кызылординский областной кожно-венерологический диспансер" управления здравоохранения Кызылординской области</t>
  </si>
  <si>
    <t>ТОО "Гарант-7"</t>
  </si>
  <si>
    <t>ТОО "Жуас"</t>
  </si>
  <si>
    <t>ТОО "ID Senim"</t>
  </si>
  <si>
    <t>ГУ "Городская поликлиника №3" управления здравоохранения Кызылординской области</t>
  </si>
  <si>
    <t>ТОО "Достармед Line"</t>
  </si>
  <si>
    <t>Кызылординский филиал АО "Республиканский детский реабилитационный центр"</t>
  </si>
  <si>
    <t>ТОО "B.B.NURA"</t>
  </si>
  <si>
    <t>ГККП Областной перинатальный центр Управления здравоохранения Кызылординской области</t>
  </si>
  <si>
    <t>ГККП "Актауская городская поликлиника №1" Управления здравоохранения Мангистауской области</t>
  </si>
  <si>
    <t>ГКП на ПХВ "Мангистауская областная больница" Управления здравоохранения Мангистауской области</t>
  </si>
  <si>
    <t>ГКП на ПХВ "Областная детская больница" Управление здравоохранения Мангистауской области</t>
  </si>
  <si>
    <t>ГКП на ПХВ Жанаозенская городская поликлиника  №1 Управления здравоохранения Мангистауской области</t>
  </si>
  <si>
    <t>ГКП на ПХВ "Актауская городская поликлиника №2" Управления здравоохранения Мангистауской области</t>
  </si>
  <si>
    <t>ГКП на ПХВ "Жанаозенская центральная городская больница" Управления здравоохранения  Мангистауской области акимата Мангистауской области</t>
  </si>
  <si>
    <t>ГККП Жаназенская городская поликлиника №2 Управления здравоохранения Мангистауской области</t>
  </si>
  <si>
    <t>ГКП на ПХВ "Областной перинатальный центр" Управления здравоохранения  Мангистауской области акимата Мангистауской области</t>
  </si>
  <si>
    <t>ГКП на ПХВ "Мангистауский областной кожно-венерологический диспансер" Управления здравоохранения Мангистауской области</t>
  </si>
  <si>
    <t>ГКП на ПХВ "Жанаозенский городской родильный дом" Управления здравоохранения Мангистауской области</t>
  </si>
  <si>
    <t>ГККП "Актауский городской родильный дом" Управления здравоохранения Мангистауской области</t>
  </si>
  <si>
    <t>ТОО "Нейрон"</t>
  </si>
  <si>
    <t>Товарищество с ограниченной ответственностью "БИОС"</t>
  </si>
  <si>
    <t>ТОО "Медцентр "Аманат"</t>
  </si>
  <si>
    <t>ГККП "Жанаозенская городская детская больница" Управления здравоохранения Мангистауской области</t>
  </si>
  <si>
    <t>ТОО «ФРЕЗЕНИУС МЕДИКАЛ КЕЙР КАЗАХСТАН» Центр амбулаторного гемодиализа г. Актау</t>
  </si>
  <si>
    <t>Коммунальное государственное предприятие на праве хозяйственного ведения "Аксуская центральная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</si>
  <si>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№2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</si>
  <si>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2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</si>
  <si>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1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</si>
  <si>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5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</si>
  <si>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1 города Павлодара" управления здравоохранения Павлодарской области,акимата Павлодарской области</t>
  </si>
  <si>
    <t>Коммунальное государственное предприятие на праве хозяйственного ведения "Павлодарская областная детская больница" управления здравоохранения Палодарской области акимата Павлодарской области</t>
  </si>
  <si>
    <t>Коммунальное государственное предприятие на праве хозяйственного ведения "Павлодарский областной перинатальный центр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</si>
  <si>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4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</si>
  <si>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№1"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</si>
  <si>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"Поликлиника № 3 города Экибастуза"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</si>
  <si>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"Экибастузская городская больница"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</si>
  <si>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 "Павлодарский областной диагностический центр"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</si>
  <si>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"Павлодарская городская больница №3" управления здравоохранения Павлодарской области, акимата Павлодарской</t>
  </si>
  <si>
    <t>Коммунальное государственное предприятие на праве хозяйственного ведения "Павлодарская областная больница имени Г. Султанова" управления здравоохранения Павлодарской области, акимата Павлодарской области</t>
  </si>
  <si>
    <t>Филиал Акционерного общества "Железнодорожные госпитали медицины катастроф" - "Павлодарская железнодорожная больница"</t>
  </si>
  <si>
    <t>Республиканское государственное казенное предприятие "Республиканский научно-практический центр медико-социальных проблем наркомании" Министерства здравоохранения и социального развития Республики Казахстан</t>
  </si>
  <si>
    <t>Коммунальное государственное предприятие на праве хозяйственного ведения "Экибастузский родильный дом" управления здравоохранения Павлодарской области</t>
  </si>
  <si>
    <t>Товарищество с ограниченной ответственностью "ХИРУРГИЧЕСКИЙ ЦЕНТР”</t>
  </si>
  <si>
    <t>Коммунальное государственное предприятие на праве хозяйственного ведения "Павлодарский областной кожно-венерологический диспансер" управления здравоохранения Павлодарской области, акимата Павлодарской области</t>
  </si>
  <si>
    <t>Товарищество с ограниченной ответственностью "Частная клиника Искакова"</t>
  </si>
  <si>
    <t>Медицинское учреждение "Данель"</t>
  </si>
  <si>
    <t>Аксуский филиал товарищества с ограниченной ответсвенностью “Медицинский центр “Евразия”</t>
  </si>
  <si>
    <t>Представительство Товарищество с ограниченной ответственностью "B.B.NURA" - "Центр амбулаторного диализа в г.Павлодар"</t>
  </si>
  <si>
    <t>Коммунальное государственное предприятие на праве хозяйственного ведения "Павлодарский областной кардиологический центр" управления здравоохранения Павлодарской области, акимата Павлодарской области</t>
  </si>
  <si>
    <t>Филиал Товарищества с ограниченой ответственностью "БИОС" в городе Павлодар</t>
  </si>
  <si>
    <t>Коммунальное государственное предприятие на праве хозяйственного ведения "Поликлиника № 3 города Павлодара" управления здравоохранения Павлодарской области, акимата Павлодарской области</t>
  </si>
  <si>
    <t>Коммунальное государственное предприятие на праве хозяйственного ведения "Городская поликлиника №3" акимата Северо-Казахстанской области Управления здравоохранения Северо-Казахстанской области</t>
  </si>
  <si>
    <t>КГП на ПХВ "Городская поликлиника №1" акимата СКО УЗ СКО</t>
  </si>
  <si>
    <t>КГП на ПХВ "Городская поликлиника №2 акимата СКО МЗ РК"</t>
  </si>
  <si>
    <t>Коммунальное государственное предприятие на праве хозяйственного ведения "Детская областная больница"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</si>
  <si>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"Областной перинатальный центр"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</si>
  <si>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"1-ая городская больница" акимата Северо-Казахстанской области Управления здравоохранения Северо-Казахстанской области</t>
  </si>
  <si>
    <t>Частное некоммерческое учреждение "Денсаулык"</t>
  </si>
  <si>
    <t>КГП на ПХВ "Областная больница акимата  СКО МЗ РК"</t>
  </si>
  <si>
    <t>КГП на ПХВ "3-я городская больница" акимата СКО УЗ СКО</t>
  </si>
  <si>
    <t>Коммунальное государственное предприятие на праве хохяйственного ведения "Кардиологический центр" акимата Северо-Казахстанской области Управления здравоохранения Северо-Казахстанской области</t>
  </si>
  <si>
    <t>Коммунальное государственное предприятие на праве хозяйственного ведения "Областной кожно-венерологический диспансер" акимата Северо-Казахстанской области Управления здравоозранения Север-Казахстанской области</t>
  </si>
  <si>
    <t>Учреждение здравоохранения "Центр глаза - АЙНА-КОЗ"</t>
  </si>
  <si>
    <t>ТОО "Митралия"</t>
  </si>
  <si>
    <t>НУЗ "Отделенческая поликлиника на станции Петропавловск ОАО "РЖД"</t>
  </si>
  <si>
    <t>ТОО "Нефрос-СК"</t>
  </si>
  <si>
    <t>Филиал ТОО  "Медицинская компания "Зейн" в г.Петропавловск</t>
  </si>
  <si>
    <t>ГККП "Областная детская больница" управления здравоохранения акимата Южно-Казахстанской области</t>
  </si>
  <si>
    <t>ГКП на ПХВ "Шымкентская городская поликлиника №5" акимата Южно-Казахстанской области</t>
  </si>
  <si>
    <t>ГККП "Шымкентская городская детская больница №1" управления здравоохранения акимата Южно-Казахстанской области</t>
  </si>
  <si>
    <t>ГККП "Мактаральская  центральная районная  больница" управления здравоохранения акимата Южно-Казахстанской области</t>
  </si>
  <si>
    <t>ГККП "Областная клиническая больница" акимата Южно-Казахстанской области</t>
  </si>
  <si>
    <t>ГККП "Шымкентская городская поликлиника №4" акимата Южно-Казахстанской области</t>
  </si>
  <si>
    <t>ПК "Торабтык аурухана" Арысского района</t>
  </si>
  <si>
    <t>ГККП "Шымкентская городская поликлиника №6" управления здравоохранения акимата ЮКО</t>
  </si>
  <si>
    <t>ГККП "Областной перинатальный центр №1" управления здравоохранения акимата Южно-Казахстанской области</t>
  </si>
  <si>
    <t>ГККП "Шымкентская городская центральная поликлиника " акимата Южно-Казахстанкой области</t>
  </si>
  <si>
    <t>ГККП "Шымкентская городская поликлиника №2" акимата Южно-Казахстанской области</t>
  </si>
  <si>
    <t>ГККП "Шымкентская городская поликлиника №12"  управления здравоохранения Южно-Казахстанской области</t>
  </si>
  <si>
    <t>ГККП "Областная офтальмологическая больница" управления здравоохранения акимата Южно-Казахстанской области</t>
  </si>
  <si>
    <t>ГККП "Областной кардиологический центр" акимата Южно-Казахстанской области</t>
  </si>
  <si>
    <t>ГККП "Шымкентская городская поликлиника №7" управления здравоохранения акимата ЮКО</t>
  </si>
  <si>
    <t>ГККП "Арысская  центральная  районная больница" управления здравоохранения акимата Южно-Казахстанской области</t>
  </si>
  <si>
    <t>ГККП "Ленгерская городская больница" управления здравоохранения акимата Южно-Казахстанской области</t>
  </si>
  <si>
    <t>ГККП "Отрарская центральная районная больница" управления здравоохранения акимата Южно-Казахстанской области</t>
  </si>
  <si>
    <t>ГККП "Шымкентская городская больница скорой медицинской помощи" акимата Южно-Казахстанской области</t>
  </si>
  <si>
    <t>ГККП "Шымкентская городская больница №1" УЗ ЮКО</t>
  </si>
  <si>
    <t>ГККП "Туркестанская городская центральная больница" управления здравоохранения акимата Южно-Казахстанской области</t>
  </si>
  <si>
    <t>ГККП "Шымкентский центр амбулаторной хирургии, травматологии   и гинекологии" акимата Южно-Казахстанской области</t>
  </si>
  <si>
    <t>ГККП "Кентауская центральная городская больница" управления здравоохранения акимата Южно-Казахстанской области</t>
  </si>
  <si>
    <t>Учреждение "Больница "Акмарал"</t>
  </si>
  <si>
    <t>ГККП "Областной консультативно-диагностический медицинский центр" акимата Южно-Казахстанской области</t>
  </si>
  <si>
    <t>ГККП "Областной перинатальный центр № 2" управления здравоохранения акимата Южно-Казахстанской области</t>
  </si>
  <si>
    <t>Учреждение "Клинико-диагностический центр  Международного Казахско-турецкого университета имени Ходжи Ахмета Ясави"</t>
  </si>
  <si>
    <t>ПК "Поликлиника Чапаевка"</t>
  </si>
  <si>
    <t>ГККП "Областной центр гипербарической оксигенации  имени Т.О.Орынбаева" акимата Южно-Казахстанской области</t>
  </si>
  <si>
    <t>ГККП "Шымкентская городская поликлиника №11" УЗ ЮКО</t>
  </si>
  <si>
    <t>ГККП "Шымкентская городская поликлиника №10" УЗ ЮКО</t>
  </si>
  <si>
    <t>ГККП " Шымкентская городская поликлиника №1 "  акимата Южно-Казахстанской области</t>
  </si>
  <si>
    <t>ГККП "Туркестанская городская поликлиника" управления здравоохранения акимата Южно-Казахстанской области</t>
  </si>
  <si>
    <t>ГККП "Ленгерская городская поликлиника" управления здравоохранения акимата Южно-Казахстанской области</t>
  </si>
  <si>
    <t>ГККП "Кентауская городская поликлиника" управления здравоохранения  акимата Южно-Казахстанской области</t>
  </si>
  <si>
    <t>Филиал АО "Железнодорожные госпитали медицины катастроф"-"Шымкентская железнодорожная больница"</t>
  </si>
  <si>
    <t>ТОО "Медцентр - Кентау"</t>
  </si>
  <si>
    <t>Учреждение Клиника МКТУ им Х.А. Ясави</t>
  </si>
  <si>
    <t>ГККП "Шымкентская городская поликлиника №9" УЗ ЮКО</t>
  </si>
  <si>
    <t>ГККП "Арысская районная поликлиника" управления здравоохранения акимата Южно-Казахстанской области</t>
  </si>
  <si>
    <t>ГККП "Областной дермато-венерологический диспансер" акимата Южно-Казахстанской области</t>
  </si>
  <si>
    <t>ГККП Областной перинатальный центр № 3  управления здравоохранения акимата Южно-Казахстанской области</t>
  </si>
  <si>
    <t>ТОО Медицинский центр "Доктора Орынбаева"</t>
  </si>
  <si>
    <t>ГККП "Областной перинатальный центр № 4" управления здравоохранения акимата Южно-Казахстанской области</t>
  </si>
  <si>
    <t>Учреждение "Клиника Талгата"</t>
  </si>
  <si>
    <t>Товарищества с ограниченной ответственностью "Медик-Сервис"</t>
  </si>
  <si>
    <t>ГККП "Шымкентский городской родильный дом №2" УЗ ЮКО</t>
  </si>
  <si>
    <t>ТОО "Денсаулык"</t>
  </si>
  <si>
    <t>ГККП "Областной эндокринологический диспансер"  акимата Южно-Казахстанской области</t>
  </si>
  <si>
    <t>ТОО "Клиника Дау-Мед"</t>
  </si>
  <si>
    <t>ТОО "Медицинский центр болезней суставов города Шымкент"</t>
  </si>
  <si>
    <t>ГККП "Туркестанская городская детская больница" управления здравоохранения акимата Южно-Казахстанской области</t>
  </si>
  <si>
    <t>ТОО "Медицинский центр Ай-Нұры"</t>
  </si>
  <si>
    <t>ТОО "IDSenim"</t>
  </si>
  <si>
    <t>ТОО "АНАСТАСИЯ ПЛЮС"</t>
  </si>
  <si>
    <t>ТОО "Доктор Магнус"</t>
  </si>
  <si>
    <t>ТОО "МИКРОХИРУРГИЯ ГЛАЗА ШЫМКЕНТ"</t>
  </si>
  <si>
    <t>ГККП "Шымкентская городская поликлиника №3" УЗ ЮКО</t>
  </si>
  <si>
    <t>ТОО "Клиника Демеу"</t>
  </si>
  <si>
    <t>Представительство ТОО "Мод и компания" г. Шымкент</t>
  </si>
  <si>
    <t>ГККП  "Шымкентская городская поликлиника №8"</t>
  </si>
  <si>
    <t>больница</t>
  </si>
  <si>
    <t>поликлиника</t>
  </si>
  <si>
    <t>кож-вен</t>
  </si>
  <si>
    <t>перинат</t>
  </si>
  <si>
    <t>реабил</t>
  </si>
  <si>
    <t>универ</t>
  </si>
  <si>
    <t>КДУ</t>
  </si>
  <si>
    <t>НИИ</t>
  </si>
  <si>
    <t>Офтальм</t>
  </si>
  <si>
    <t>кардио</t>
  </si>
  <si>
    <t>частн/диализ</t>
  </si>
  <si>
    <t>псих/нарко</t>
  </si>
  <si>
    <t>туб</t>
  </si>
  <si>
    <t>репрод</t>
  </si>
  <si>
    <t>НЦ</t>
  </si>
  <si>
    <t>ГККП Областной дермато-венерологический диспансер</t>
  </si>
  <si>
    <t>ГУ Казахский республиканский лепрозорий</t>
  </si>
  <si>
    <t>ГУ Республиканская психиатрическая больница специализированного типа с интенсивным наблюдением</t>
  </si>
  <si>
    <t>ГУ Республиканский центр по профилактике и борьбе со СПИД</t>
  </si>
  <si>
    <t>Лечение за рубежом</t>
  </si>
  <si>
    <t>РГП на ПХВ Научно-производственный центр трансфузиологии</t>
  </si>
  <si>
    <t>РГКП Республиканский центр крови</t>
  </si>
  <si>
    <t>РГП на ПХВ "Национальный центр проблем формирования здорового образа жизни"</t>
  </si>
  <si>
    <t>РГП на ПХВ Республиканский центр санитарной авиации (через ДЭФ МЗ РК)</t>
  </si>
  <si>
    <t>КДП</t>
  </si>
  <si>
    <t>ПМСП</t>
  </si>
  <si>
    <t>РБ</t>
  </si>
  <si>
    <t>HC.6.3</t>
  </si>
  <si>
    <t>Программы обнаружение заболеваний на ранних стадиях/скрининг</t>
  </si>
  <si>
    <t>женск</t>
  </si>
  <si>
    <t>нарко респ</t>
  </si>
  <si>
    <t>эндокр дисп</t>
  </si>
  <si>
    <t xml:space="preserve">КГП на ПХВ "Центр М и Р" </t>
  </si>
  <si>
    <t>КГКП" ВКО кожвендиспансер "г.У-Ка</t>
  </si>
  <si>
    <t>КГКП "ВК Обл. Наркодиспансер" г.У-Ка</t>
  </si>
  <si>
    <t>КГКП "Восточно-Казахстанский областной психоневрологический дспансер" Управления здравоохранения Восточно-Казахстанского областного акимата"</t>
  </si>
  <si>
    <t>КГКП "Восточно-Казахстанская областная психиатрическая больница села Ново-Канайка" Управления здравоохранения Восточно-Казахстанского областного акимата"</t>
  </si>
  <si>
    <t>КГКП Психиатрическая больница п.Шульбинск Управления здравоохранения Восточно-Казахстанского областного акимата"</t>
  </si>
  <si>
    <t>КГКП Восточно-Казахстанский областной противотуберкулезный диспансер Управления здравоохранения Восточно-Казахстанского областного акимата"</t>
  </si>
  <si>
    <t>КГКП "Региональный противотуберкулезный диспансер города Семей" Управления здравоохранения Восточно-Казахстанского областного акимата</t>
  </si>
  <si>
    <t>КГКП "Первомайский туберкулезный детский санаторий" Управления здравоохранения Восточно-Казахстанского областного акимата</t>
  </si>
  <si>
    <t>КГКП "Областной детский туберкулезный санаторий Сосна" Управления здравоохранения Восточно-Казахстанского областного акимата</t>
  </si>
  <si>
    <t>КГКП "Областной туберкулезный санаторий "Березовка" Управления здравоохранения Восточно-Казахстанского областного акимата"</t>
  </si>
  <si>
    <t>КГП на ПХВ "Горбольница № 1" г. У-Ка</t>
  </si>
  <si>
    <t>КГП на ПХВ "Риддерская городская больница"</t>
  </si>
  <si>
    <t>КГКП Психоневрологический диспансер г.Риддера Управления здравоохранения Восточно-Казахстанского областного акимата"</t>
  </si>
  <si>
    <t>КГКП Противотуберкулезный диспансер г.Риддера Управления здравоохранения Восточно-Казахстанского областного акимата"</t>
  </si>
  <si>
    <t>КГП на ПХВ "Центральная районная больница Зыряновского района" УЗ ВКО акимата</t>
  </si>
  <si>
    <t>КГП на ПХВ "Городская больница города Серебрянска Зыряновского региона" УЗ ВКО акимата</t>
  </si>
  <si>
    <t>КГКП "Зыряновский психоневрологический диспансер Управления здравоохранения Восточно-Казахстанского областного акимата"</t>
  </si>
  <si>
    <t>КГКП Противотуберкулезный диспансер Зыряновского района" Управления здравоохранения Восточно-Казахстанского областного акимата</t>
  </si>
  <si>
    <t>КГКП "Кокпектинская районная противотуберкулезная больница" Управления здравоохранения Восточно-Казахстанского областного акимата</t>
  </si>
  <si>
    <t>КГКП "Противотуберкулезная больница Тарбагатайского района" Управления здравоохранения Восточно-Казахстанского областного акимата</t>
  </si>
  <si>
    <t>КГКП Наркологический диспансер г.Семей</t>
  </si>
  <si>
    <t>КГКП "КВД" г.Семей</t>
  </si>
  <si>
    <t>КГКП "Инфекционная больница города Семей" Управления здравоохранения Восточно-Казахстанского областного акимата</t>
  </si>
  <si>
    <t>КГКП "Центр психического здоровья города Семей" Управления здравоохранения Восточно-Казахстанского областного акимата</t>
  </si>
  <si>
    <t>КГКП Противотуберкулезный диспансер Аягозского района Управления здравоохранения Восточно-Казахстанского областного акимата</t>
  </si>
  <si>
    <t>КГКП "Противотуберкулезная больница Урджарского района" Управления здравоохранения Восточно-Казахстанского областного акимата</t>
  </si>
  <si>
    <t>КГП на ПХВ " ВКО кожвендиспансер "г.У-Ка</t>
  </si>
  <si>
    <t>КГП на ПХВ "ВК Обл. Наркодиспансер" г.У-Ка</t>
  </si>
  <si>
    <t>КГКП "Городская больница г.Курчатова"</t>
  </si>
  <si>
    <t xml:space="preserve">КГП «Областной психоневрологический диспансер» </t>
  </si>
  <si>
    <t xml:space="preserve">КГКП «Областной детский психоневрологический диспансер» </t>
  </si>
  <si>
    <t>КГУ "Областной детский противотуберкулезный санаторий"</t>
  </si>
  <si>
    <t>КГУ "Областной противотуберкулезный диспансер"</t>
  </si>
  <si>
    <t>КГУ "Областная инфекционная больница"</t>
  </si>
  <si>
    <t>КГУ "Реабилитационный центр "Умит"</t>
  </si>
  <si>
    <t xml:space="preserve">КГП "Центральная  больница г Шахтинск" </t>
  </si>
  <si>
    <t xml:space="preserve">КГП "Центральная районная больница Осакаровского района" </t>
  </si>
  <si>
    <t>ЗКО</t>
  </si>
  <si>
    <t>ГУ "Областной детский тубсанаторий "Ивушка"</t>
  </si>
  <si>
    <t>ГУ "Межрайонная противотуберкулёзная больница "Орал"</t>
  </si>
  <si>
    <t>ГУ "Туберкулезная больница Акжаикского района"</t>
  </si>
  <si>
    <t>ГУ "Межрайонная противотуберкулёзная больница "Борлі"</t>
  </si>
  <si>
    <t>ГУ "Туберкулезная больница Жанибекского района"</t>
  </si>
  <si>
    <t>ГУ "Областной туберкулёзный санаторий "Карагайлы" с. Дарьинское"</t>
  </si>
  <si>
    <t>ГУ "Туберкулезная больница Казталовского района"</t>
  </si>
  <si>
    <t>ГУ "Туберкулезная больница Сырымского района"</t>
  </si>
  <si>
    <t>ГКП на ПХВ "Областной противотуберкулезный диспансер"</t>
  </si>
  <si>
    <t>ГККП"Областная инфекционная больница"</t>
  </si>
  <si>
    <t>ГККП "Областной Центр психического здоровья"</t>
  </si>
  <si>
    <t>ГККП "Областной наркологический диспансер"</t>
  </si>
  <si>
    <t>ГККП "Областное наркологическое специализированное  лечебно - профилактическое учреждение"</t>
  </si>
  <si>
    <t>ГККП "Областной центр по профилактике и борьбе со СПИД"</t>
  </si>
  <si>
    <t>ГКП на ПХВ "Акжаикская центральная районная больница"</t>
  </si>
  <si>
    <t>ГККП "Акжаикская районная больница"</t>
  </si>
  <si>
    <t>ГКП на ПХВ "Бокейординская центральная районная больница"</t>
  </si>
  <si>
    <t>ГКП на ПХВ "Бурлинская центральная районная больница"</t>
  </si>
  <si>
    <t>ГКП на ПХВ"Джангалинская центральная районная больница"</t>
  </si>
  <si>
    <t>ГКП на ПХВ "Жанибекская центральная районная больница"</t>
  </si>
  <si>
    <t>ГКП на ПХВ "Зеленовская районная больница"</t>
  </si>
  <si>
    <t>ГКП на ПХВ "Казталовская центральная районная больница"</t>
  </si>
  <si>
    <t>ГКП на ПХВ "Казталовская районная больница"</t>
  </si>
  <si>
    <t>ГКП на ПХВ "Каратобинская центральная районная больница"</t>
  </si>
  <si>
    <t>ГКП на ПХВ "Таскалинская центральная районная больница"</t>
  </si>
  <si>
    <t>ГКП на ПХВ "Теректинская центральная районная больница"</t>
  </si>
  <si>
    <t>ГКП на ПХВ "Чингирлауская центральная районная больница"</t>
  </si>
  <si>
    <t xml:space="preserve">КГКП "Атырауский областной противотуберкулезный диспансер"  </t>
  </si>
  <si>
    <t>КГКП "Областной детский противотуберкулезный санаторий"</t>
  </si>
  <si>
    <t>КГКП "Атырауский областной противотуберкулезный санаторий"</t>
  </si>
  <si>
    <t xml:space="preserve">КГКП "Жылыойская районная туберкулезная больница"  </t>
  </si>
  <si>
    <t xml:space="preserve">КГКП "Махамбетская межрайонная туберкулезная больница"  </t>
  </si>
  <si>
    <t xml:space="preserve">КГКП "Макатская противотуберкулезная больница"  </t>
  </si>
  <si>
    <t xml:space="preserve">КГКП "Индерский районный туберкулезный диспансер" </t>
  </si>
  <si>
    <t xml:space="preserve">КГКП "Исатайский районный туберкулезный диспансер"  </t>
  </si>
  <si>
    <t xml:space="preserve">КГКП "Кызылкогинская районная туберкулезная больница" </t>
  </si>
  <si>
    <t xml:space="preserve">КГКП "Курмангазинская районная туберкулезная больница имени Магзома Гилаева"   </t>
  </si>
  <si>
    <t xml:space="preserve">КГКП "Атырауская областная инфекционная больница"  </t>
  </si>
  <si>
    <t xml:space="preserve">КГКП "Областная психо - неврологическая больница"   </t>
  </si>
  <si>
    <t xml:space="preserve">КГКП "Атырауский областной наркологический диспансер" </t>
  </si>
  <si>
    <t xml:space="preserve">КГП на ПХВ "Атырауский областной кожно-венерологический диспансер"  </t>
  </si>
  <si>
    <t xml:space="preserve">КГП на ПХВ "Макатская центральная районная больница"  </t>
  </si>
  <si>
    <t xml:space="preserve">КГП на ПХВ "Махамбетская центральная районная больница" </t>
  </si>
  <si>
    <t xml:space="preserve">КГП на ПХВ " Исатайская  центральная районная больница"  </t>
  </si>
  <si>
    <t xml:space="preserve">КГП на ПХВ "Индерская центральная районная больница "  </t>
  </si>
  <si>
    <t xml:space="preserve">КГП на ПХВ " Кызылкогинская центральная районная больница"  </t>
  </si>
  <si>
    <t xml:space="preserve">КГП на ПХВ  "Курмангазинская  центральная районная  больница"   </t>
  </si>
  <si>
    <t xml:space="preserve">КГП на ПХВ "Жылыойская  центральная  районная больница" </t>
  </si>
  <si>
    <t xml:space="preserve">КГП на ПХВ  Атырауская областная больница  </t>
  </si>
  <si>
    <t>ГККП "Специализированное лечебно-профилактическое предприятие"</t>
  </si>
  <si>
    <t>ГКП "Алгинская центральная районная больница" на ПХВ</t>
  </si>
  <si>
    <t>ГКП "Айтекебийская центральная районная больница"на ПХВ</t>
  </si>
  <si>
    <t>ГКП "Байганинская центральная районная больница" на ПХВ</t>
  </si>
  <si>
    <t>ГКП "Иргизская центральная районная больница"на ПХВ</t>
  </si>
  <si>
    <t>ГКП "Каргалинская центральная районная больница" на ПХВ</t>
  </si>
  <si>
    <t>ГКП "Мартукская центральная районная больница"на ПХВ</t>
  </si>
  <si>
    <t>ГКП "Мугалжарская центральная районная больница"на ПХВ</t>
  </si>
  <si>
    <t>ГКП "Эмбенская районная больница" на ПХВ-Мугалжарский район</t>
  </si>
  <si>
    <t>ГКП "Кобдинская центральная районная больница"на ПХВ</t>
  </si>
  <si>
    <t>ГКП "Хромтауская центральная районная больница" на ПХВ</t>
  </si>
  <si>
    <t>ГКП "Темирская центральная районная больница"на ПХВ</t>
  </si>
  <si>
    <t>ГКП "Уилская центральная районная больница"на ПХВ</t>
  </si>
  <si>
    <t>ГКП "Шалкарская центральная районная больница" на ПХВ</t>
  </si>
  <si>
    <t>ГКП "Айтекебийская туберкулезная районная больница"на ПХВ</t>
  </si>
  <si>
    <t>ГКП "Мугалжарская туберкулезная районная больница"на ПХВ</t>
  </si>
  <si>
    <t>ГКП "Темирская туберкулезная районная больница"на ПХВ</t>
  </si>
  <si>
    <t>ГКП "Шалкарская туберкулезная районная больница" на ПХВ</t>
  </si>
  <si>
    <t>ГКП "Актюбинский областной детский костно-туберкулезный санаторий "Чайка" на ПХВ</t>
  </si>
  <si>
    <t>ГКП"Противотуберкулезный санаторий "Берчогур"" на ПХВ</t>
  </si>
  <si>
    <t>ГКП "Актюбинский областной противотуберкулезный диспансер" на ПХВ</t>
  </si>
  <si>
    <t>ГКП "Областной центр по профилактике и борьбе со СПИД" на ПХВ</t>
  </si>
  <si>
    <t>ГКП "Актюбинский областной психоневрологический диспансер" на ПХВ</t>
  </si>
  <si>
    <t>ГКП "Актюбинский областной наркологический диспансер"на ПХВ</t>
  </si>
  <si>
    <t>ГКП "Областная клиническая инфекционная больница" на ПХВ</t>
  </si>
  <si>
    <t>ВКО</t>
  </si>
  <si>
    <t xml:space="preserve">ГККП Акмолинский областной противотуберкулезный диспансер имени К.Курманбаева </t>
  </si>
  <si>
    <t>ГККП «Акмолинская областная психиатрическая больница»</t>
  </si>
  <si>
    <t>ГКП на ПХВ "Астраханская ЦРБ"</t>
  </si>
  <si>
    <t>ГКП на ПХВ "Есильская ЦРБ"</t>
  </si>
  <si>
    <t>ГКП на ПХВ "Зерендинская ЦРБ"</t>
  </si>
  <si>
    <t>ГККП «Степногорская региональная психиатрическая больница»</t>
  </si>
  <si>
    <t>ГККП «Атбасарский региональный противотуберкулезный диспансер»</t>
  </si>
  <si>
    <t>ГККП Областной специализированный противотуберкулезный санаторий</t>
  </si>
  <si>
    <t>ГККП «Степногорский региональный противотуберкулезный диспансер»</t>
  </si>
  <si>
    <t>ГКП на ПХВ "Жаркаинская ЦРБ"</t>
  </si>
  <si>
    <t xml:space="preserve">ГККП «Мариновская межрайонная противотуберкулезная больница» </t>
  </si>
  <si>
    <t>ГКП на ПХВ "Жаксынская ЦРБ"</t>
  </si>
  <si>
    <t>ГККП «Областная больница для принудительного лечения»</t>
  </si>
  <si>
    <t>ГКП на ПХВ "Мунайлинская центральная районная больница"</t>
  </si>
  <si>
    <t>ГКП на ПХВ "Тупкараганская центральная районная больница"</t>
  </si>
  <si>
    <t>Тупкараганская  туберкулезная больница</t>
  </si>
  <si>
    <t>ГККП "Областной противотуберкулезный диспансер"</t>
  </si>
  <si>
    <t>ГККП "Областной психоневрологический диспансер"</t>
  </si>
  <si>
    <t>ГККП "Областная инфекционная больница"</t>
  </si>
  <si>
    <t>ГККП "Бейнеуская районная туберкулезная больница"</t>
  </si>
  <si>
    <t>ГККП "Бейнеуская центральная районная больница"</t>
  </si>
  <si>
    <t>ГККП "Каракиянская центральная районная больница"</t>
  </si>
  <si>
    <t>ГККП "Жетыбайская районная больница"</t>
  </si>
  <si>
    <t>ГККП "Мангистауский областной противотуберкулезный санаторий им. Е. Оразакова"</t>
  </si>
  <si>
    <t>ГККП "Жанаозенская городская детская больница"</t>
  </si>
  <si>
    <t>ГККП "Жанаозенская городская туберкулезная больница"</t>
  </si>
  <si>
    <t>ГКП на ПХВ "Мангистауский областной Центр по профилактике и борьбе с СПИД"</t>
  </si>
  <si>
    <t>ГКП на ПХВ "Мангистауская областная больница"</t>
  </si>
  <si>
    <t>ГКП на ПХВ "Мангистауская центральная районная больница"</t>
  </si>
  <si>
    <t>псих</t>
  </si>
  <si>
    <t>нарко</t>
  </si>
  <si>
    <t>туб сан</t>
  </si>
  <si>
    <t>инф</t>
  </si>
  <si>
    <t>туб дисп</t>
  </si>
  <si>
    <t>общ</t>
  </si>
  <si>
    <t>Лечение онкологических больных от этапа диагностики до реабилитации на основе международных протоколов</t>
  </si>
  <si>
    <t>Повышение квалификации и переподготовка кадров</t>
  </si>
  <si>
    <t>Капитальные расходы государственных организаций образования системы  здравоохранения</t>
  </si>
  <si>
    <t>Подготовка специалистов в организациях технического и профессионального, послесреднего образования</t>
  </si>
  <si>
    <t>Оказание социальной поддержки обучающимся по программам технического и профессионального, послесреднего образования</t>
  </si>
  <si>
    <t>УЗ</t>
  </si>
  <si>
    <t>НИИ, НЦ</t>
  </si>
  <si>
    <t>разница</t>
  </si>
  <si>
    <t>смп+всмп</t>
  </si>
  <si>
    <t>ГОБМП</t>
  </si>
  <si>
    <t>Саня</t>
  </si>
  <si>
    <t>Кровь</t>
  </si>
  <si>
    <t>ЗОЖ</t>
  </si>
  <si>
    <t>КДУ+лизинг</t>
  </si>
  <si>
    <t>Инновация</t>
  </si>
  <si>
    <t>ГБ</t>
  </si>
  <si>
    <t>КОМУ</t>
  </si>
  <si>
    <t>HC</t>
  </si>
  <si>
    <t>HP</t>
  </si>
  <si>
    <t>остаток от ДЭФ</t>
  </si>
  <si>
    <t>Кост</t>
  </si>
  <si>
    <t>КГП "Костанайская городская детская больница"</t>
  </si>
  <si>
    <t>КГП "Рудненская городская детская больница"</t>
  </si>
  <si>
    <t>КГП "Костанайская городская больница"</t>
  </si>
  <si>
    <t>КГП "Аркалыкская региональная больница"</t>
  </si>
  <si>
    <t>КГП "Лисаковская городская больница"</t>
  </si>
  <si>
    <t>ГКП на ПХВ "Костанайский областной наркологический диспансер"</t>
  </si>
  <si>
    <t>КГП "Житикаринская ЦРБ"</t>
  </si>
  <si>
    <t>КГП "Амангельдинская ЦРБ"</t>
  </si>
  <si>
    <t>ГКП на ПХВ "Аулиекольская ЦРБ"</t>
  </si>
  <si>
    <t>КГП "Денисовская ЦРБ"</t>
  </si>
  <si>
    <t>КГП "Джангельдинская ЦРБ"</t>
  </si>
  <si>
    <t>КГП "Камыстинская ЦРБ"</t>
  </si>
  <si>
    <t>КГП "Карабалыкская ЦРБ"</t>
  </si>
  <si>
    <t>КГП "Карасуская ЦРБ"</t>
  </si>
  <si>
    <t>КГП "Октябрьская СБ"</t>
  </si>
  <si>
    <t>КГП "Мендыкаринская ЦРБ"</t>
  </si>
  <si>
    <t>КГП "Наурзумская ЦРБ"</t>
  </si>
  <si>
    <t>КГП "Сарыкольская ЦРБ"</t>
  </si>
  <si>
    <t>КГП "Тарановская ЦРБ"</t>
  </si>
  <si>
    <t>КГП "Узункольская ЦРБ"</t>
  </si>
  <si>
    <t>КГП "Федоровская ЦРБ"</t>
  </si>
  <si>
    <t xml:space="preserve">ГУ "Костанайская областная психиатрическая больница" </t>
  </si>
  <si>
    <t>КГУ "Мендыкаринская районная противотуберкулезная больница"</t>
  </si>
  <si>
    <t>КГУ "Житикаринская районная противотуберкулезная больница"</t>
  </si>
  <si>
    <t>ГККП "Городская инфекционная больница " ГУ "Управление здравоохранения г.Астаны"</t>
  </si>
  <si>
    <t>ГККП "Противотуберкулезный диспансер" ГУ "Управление здравоохранения г.Астаны"</t>
  </si>
  <si>
    <t>ГККП "Медицинский центр проблем психического здоровья" ГУ "Управление здравоохранения г.Астаны"</t>
  </si>
  <si>
    <t>ГККП "Городская детская инфекционная больница" ГУ "Управление здравоохранения г.Астаны"</t>
  </si>
  <si>
    <t>ГКП на праве хозяйственного ведения "Центр медико-социальной реабилитации"  Управления здравоохранения г.Астаны</t>
  </si>
  <si>
    <t>ЮКО</t>
  </si>
  <si>
    <t>ГКП на ПХВ "Жамбылский областной кожно-венерологический диспансер"</t>
  </si>
  <si>
    <t>РБ ЦТТ</t>
  </si>
  <si>
    <t>Караг</t>
  </si>
  <si>
    <t>СКО</t>
  </si>
  <si>
    <t>ДФ</t>
  </si>
  <si>
    <t xml:space="preserve">на 1 января 2016 годa  </t>
  </si>
  <si>
    <t xml:space="preserve">месячная </t>
  </si>
  <si>
    <t>066</t>
  </si>
  <si>
    <t>Прикладные научные исследования в области санитарно-эпидемиологического благополучия населения</t>
  </si>
  <si>
    <t>Капитальные расходы медицинских организаций здравоохранения</t>
  </si>
  <si>
    <t>Строительство врачебных амбулаторий и фельдшерско-акушерских пунктов, расположенных в сельских населенных пунктах в рамках Дорожной карты занятости 2020</t>
  </si>
  <si>
    <t>395</t>
  </si>
  <si>
    <t>Управление занятости, труда и социальной защиты города республиканского значения, столицы</t>
  </si>
  <si>
    <t>721</t>
  </si>
  <si>
    <t>Управление образования, молодежной политики и по развитию языков области</t>
  </si>
  <si>
    <t>052</t>
  </si>
  <si>
    <t>Обеспечение нуждающихся инвалидов обязательными гигиеническими средствами, предоставление социальных услуг индивидуального помощника для инвалидов первой группы, имеющих затруднение в передвижении, и специалиста жестового языка для инвалидов по слуху в соответствии с индивидуальной программой реабилитации инвалида</t>
  </si>
  <si>
    <t>801</t>
  </si>
  <si>
    <t>Отдел занятости, социальных программ и регистрации актов гражданского состояния района (города областного значения)</t>
  </si>
  <si>
    <t xml:space="preserve">За счет трансфертов из республиканского бюджета
</t>
  </si>
  <si>
    <t>053</t>
  </si>
  <si>
    <t>Услуги по замене и настройке речевых процессоров к кохлеарным имплантам</t>
  </si>
  <si>
    <t>362</t>
  </si>
  <si>
    <t>Управление внутренней политики города республиканского значения, столицы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</si>
  <si>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населения, регулирования трудовых отношений на местном уровне</t>
  </si>
  <si>
    <t>059</t>
  </si>
  <si>
    <t>720</t>
  </si>
  <si>
    <t>Управление внутренней политики и по делам религий области</t>
  </si>
  <si>
    <t>04</t>
  </si>
  <si>
    <t>Образование</t>
  </si>
  <si>
    <t>Отчет об исполнении республиканского бюджета</t>
  </si>
  <si>
    <t xml:space="preserve">Скорректированный бюджет на отчетный финансовый год </t>
  </si>
  <si>
    <t>ГКП на ПХВ «Шалкарская центральная районная больница» ГУ «Управление здравоохранения Актюбинской области»</t>
  </si>
  <si>
    <t>ТОВАРИЩЕСТВО С ОГРАНИЧЕННОЙ ОТВЕТСТВЕННОСТЬЮ "Куаныш"</t>
  </si>
  <si>
    <t>Государственное коммунальное предприятия "Городская поликлиника №5" на праве хозяйственного ведения государственного учреждения "Управление здравоохранения Актюбинской области"</t>
  </si>
  <si>
    <t>Государственное коммунальное предприятия "Городская поликлиника №6" на праве хозяйственного ведения государственного учреждения "Управление здравоохранения Актюбинской области"</t>
  </si>
  <si>
    <t>Товарищество с ограниченной ответственностью "Фрезениус Медикал Кейр Казахстан" г. Актобе</t>
  </si>
  <si>
    <t>ПТ "Эскулап" Енбекшиказахский район, г. Есик</t>
  </si>
  <si>
    <t>Товарищество с ограниченной ответственностью "Коксу Мед"</t>
  </si>
  <si>
    <t>Товарищество с ограниченной ответственностью "НЕФРОС-Азия"</t>
  </si>
  <si>
    <t>Товарищество с ограниченной ответственностью "Аккорд KZ"</t>
  </si>
  <si>
    <t>Товарищество с ограниченной ответственностью "Ас-Ди Мед"</t>
  </si>
  <si>
    <t>Товарищество с ограниченной ответственностью "АЛАТ С"</t>
  </si>
  <si>
    <t>Товарищество с органиченной ответсвенностью "ALZAMER" г.Уштобе</t>
  </si>
  <si>
    <t>Товарищество с органиченной ответственностью "Жаркент-Дауа" г.Чунджа</t>
  </si>
  <si>
    <t>Республиканское государственное казенное предприятие "Научный центр педиатрии и детской хирургии" Министерства здравоохранения и социального развития Республики Казахстан</t>
  </si>
  <si>
    <t>Государственное коммунальное предприятие на праве хозяйственного ведения "Городская поликлиника №32" Управления здравоохранения города Алматы</t>
  </si>
  <si>
    <t>ГКП на ПХВ "Городская поликлиника №16" Управления здравоохранения города Алматы</t>
  </si>
  <si>
    <t>ГКП на ПХВ "Городская  поликлиника №34" Управления здравоохранения города Алматы</t>
  </si>
  <si>
    <t>ГКП на ПХВ "Городская поликлиника №33" Управления здравоохранения города Алматы</t>
  </si>
  <si>
    <t>ГККП "Городская  поликлиника №30" Управления здравоохранения  города  Алматы</t>
  </si>
  <si>
    <t>ГКП на ПХВ "Городская  поликлиника №31" Управления здравоохранения города Алматы</t>
  </si>
  <si>
    <t>ТОО "Медицинский центр "Релайф"</t>
  </si>
  <si>
    <t>ТОО "Ресупбликанский семейно-врачебный центр"</t>
  </si>
  <si>
    <t>Товарищество с ограниченной ответственностью "Лазерный центр Коновалова"</t>
  </si>
  <si>
    <t>ТОО "ALZAMER"</t>
  </si>
  <si>
    <t>Товарищество с ограниченной ответственностью "Торговый дом GOOD LOOK"</t>
  </si>
  <si>
    <t>Филиал "Медицинские центры "Медикер" ТОО"Медикер" г.Астана</t>
  </si>
  <si>
    <t>ТОО «Клиника микрохирургии глаза Optima»</t>
  </si>
  <si>
    <t>ТОО « Академия ортопедии Астана»</t>
  </si>
  <si>
    <t>ГКП на ПХВ "ЦСЗ "Шипагер" акимата г. Астаны</t>
  </si>
  <si>
    <t>Государственное коммунальное предприятие на праве хозяйственного ведения  "Центр семейного здоровья "Достық" акимата города Астаны</t>
  </si>
  <si>
    <t>ТОО "Клиника Эндохирургии"</t>
  </si>
  <si>
    <t>Государственное коммунальное предприятие на праве хозяйственного ведения "Городская поликлиника №9" акимата города Астаны</t>
  </si>
  <si>
    <t>Товарищество с ограниченной ответственностью "Эстетик-профи"</t>
  </si>
  <si>
    <t>Товарищество с ограниченной ответственностью "Достар Мед Астана"</t>
  </si>
  <si>
    <t>Товарищество с ограниченной ответственностью "Медикер Жайык"</t>
  </si>
  <si>
    <t>Атырауский филиал Товарищества с ограниченной ответственностью "Prometheys"</t>
  </si>
  <si>
    <t>Филиал Товарищества с ограниченной ответственностью "Медицинская компания "Зейн" в городе Атырау</t>
  </si>
  <si>
    <t>Учреждение "КДП №3 г. Семей"</t>
  </si>
  <si>
    <t xml:space="preserve">Государственное коммунальное предприятие на праве хозяйственного ведения «Жамбылский областной реабилитационный центр «Материнство и детство» Управления здравоохранения акимата Жамбылской </t>
  </si>
  <si>
    <t>ТОО "Медицинский центр доктора Абдуалиева"</t>
  </si>
  <si>
    <t>Учреждение "Денсаулык"</t>
  </si>
  <si>
    <t>ТОО МЦ "Өмір"</t>
  </si>
  <si>
    <t>ИП Бидайбаева Г.Б.</t>
  </si>
  <si>
    <t>ТОО "GalaКлиника"</t>
  </si>
  <si>
    <t>Товарищество с ограниченной ответственностью "УроМед"</t>
  </si>
  <si>
    <t>Товарищество с ограниченной ответственностью "Медицинский центр ЯСИН"</t>
  </si>
  <si>
    <t>Товарищество с ограниченной ответственностью "НҰР" Медицинский Центр"</t>
  </si>
  <si>
    <t>Товарищество с ограниченной ответственностью "ЦЕНТР АМБУЛАТОРНОЙ АНГИОХИРУРГИИ И ЭСТЕТИЧЕСКОЙ ФЛЕБОЛОГИИ"</t>
  </si>
  <si>
    <t>Товарищество с ограниченной ответственностью "Амбулаторный диализный центр"</t>
  </si>
  <si>
    <t>ТОО "Медея Север"</t>
  </si>
  <si>
    <t>ТОО "Шымдиал"</t>
  </si>
  <si>
    <t>ТОО "Сұлтанәжі"</t>
  </si>
  <si>
    <t>ТОО "Почечный центр ЮКО"</t>
  </si>
  <si>
    <t>ТОО "Сункар-ЮКО"</t>
  </si>
  <si>
    <t>ТОО  "Prometheys Shymkent"</t>
  </si>
  <si>
    <t>ТОО "MEDICALLIFE"</t>
  </si>
  <si>
    <t>Товарищество с ограниченной ответственностью "Медикер ЮК"</t>
  </si>
  <si>
    <t>Товарищество с ограниченной ответственностью "Premium Dialysis"</t>
  </si>
  <si>
    <t>Филиал акционерного общества "Казахский ордена "Знак Почета" научно-исследовательский институт глазных болезней в городе Шымкент"</t>
  </si>
  <si>
    <t>586 МО</t>
  </si>
  <si>
    <t>Манг</t>
  </si>
  <si>
    <r>
      <rPr>
        <b/>
        <u/>
        <sz val="11"/>
        <color indexed="8"/>
        <rFont val="Times New Roman"/>
        <family val="1"/>
        <charset val="204"/>
      </rPr>
      <t>Регион:</t>
    </r>
    <r>
      <rPr>
        <sz val="11"/>
        <color indexed="8"/>
        <rFont val="Times New Roman"/>
        <family val="1"/>
        <charset val="204"/>
      </rPr>
      <t xml:space="preserve"> </t>
    </r>
    <r>
      <rPr>
        <i/>
        <sz val="11"/>
        <color indexed="8"/>
        <rFont val="Times New Roman"/>
        <family val="1"/>
        <charset val="204"/>
      </rPr>
      <t>Акмолинская область</t>
    </r>
  </si>
  <si>
    <t>Регион:  г.Астана</t>
  </si>
  <si>
    <t>253+353</t>
  </si>
  <si>
    <t>%</t>
  </si>
  <si>
    <t>Кызылорда</t>
  </si>
  <si>
    <t>тыс. тенге</t>
  </si>
  <si>
    <t>наименование</t>
  </si>
  <si>
    <t>план</t>
  </si>
  <si>
    <t>факт</t>
  </si>
  <si>
    <t>100 СМП</t>
  </si>
  <si>
    <t>в т.ч. Санавиация</t>
  </si>
  <si>
    <t>ГУ СПИД</t>
  </si>
  <si>
    <t>ГУ РПБСТИН</t>
  </si>
  <si>
    <t>ГУ Лепрозорий</t>
  </si>
  <si>
    <t>Онко госзадание</t>
  </si>
  <si>
    <t>101 ВСМП</t>
  </si>
  <si>
    <t xml:space="preserve">КОМУ </t>
  </si>
  <si>
    <t>102 РЦСА</t>
  </si>
  <si>
    <t>КОМУ санавиация</t>
  </si>
  <si>
    <t>ДФ  санавиация</t>
  </si>
  <si>
    <t>103 Кровь</t>
  </si>
  <si>
    <t>РЦК</t>
  </si>
  <si>
    <t>НПЦТ</t>
  </si>
  <si>
    <t>104 ЗОЖ</t>
  </si>
  <si>
    <t>105 Уникальные</t>
  </si>
  <si>
    <t>ЦА</t>
  </si>
  <si>
    <t>З ГУ</t>
  </si>
  <si>
    <t>Расходы по бюджетной программе 011 "Обеспечение гарантированного объема бесплатной медицинской помощи, за исключением направлений, финансируемых на местном уровне" 2015 год</t>
  </si>
  <si>
    <t>Оказание медицинской помощи лицам страдающим туберкулезом,инфекционными заболеваниями, психическими  расстройствами и расстройствами поведения, в т.ч. связанные  с употреблением психоактивных веществ</t>
  </si>
  <si>
    <t>ТОО "СК - Фармация" (Единый дистрибьютер)</t>
  </si>
  <si>
    <t xml:space="preserve">ГУ "Областной санаторий для детей с заболеваниями бронхо-легочной системы "Бурабай" </t>
  </si>
  <si>
    <t>Итого по подпрограмме 015 специфика 159</t>
  </si>
  <si>
    <t>За счет средств из местного бюджета</t>
  </si>
  <si>
    <t>ГКП на ПХВ "Акмолинская областная детская больница "</t>
  </si>
  <si>
    <t>ГКП на ПХВ "Аккольская ЦРБ"</t>
  </si>
  <si>
    <t>ГКП на ПХВ "Аршалынская  ЦРБ"</t>
  </si>
  <si>
    <t>ГКП на ПХВ Ерейментауская ЦРБ"</t>
  </si>
  <si>
    <t>ГКП на ПХВ "Областной наркологический реабилитационный центр"</t>
  </si>
  <si>
    <t>ГКП на ПХВ "Степногорская центральная городская больница"</t>
  </si>
  <si>
    <t>ГКП на ПХВ "Акмолинская областная больница №2"</t>
  </si>
  <si>
    <t>ГКП на ПХВ "Бурабайская ЦРБ"</t>
  </si>
  <si>
    <t>ГКП на ПХВ "Бурабайская районная поликлиника"</t>
  </si>
  <si>
    <t>ГКП на ПХВ "Кокшетауская городская больница"</t>
  </si>
  <si>
    <t>ГКП на ПХВ "Кокшетауская городская больница с поликлиникой №2"</t>
  </si>
  <si>
    <t>Акмола</t>
  </si>
  <si>
    <t>в том числе по мед.организациям:</t>
  </si>
  <si>
    <t>Актобе</t>
  </si>
  <si>
    <t>ГУЗ "КАСКЕЛЕНСКАЯ ГОРОДСКАЯ ИНФЕКЦИОННАЯ БОЛЬНИЦА"</t>
  </si>
  <si>
    <t>ГУ "ЖАРКЕНТСКАЯ ТУБЕРКУЛЕЗНАЯ БОЛЬНИЦА"</t>
  </si>
  <si>
    <t>ГУ "Туберкулезная больница с.Кабанбай Алакольского района"</t>
  </si>
  <si>
    <t>ГУ "РЕГИОНАЛЬНАЯ ИНФЕКЦИОННАЯ БОЛЬНИЦА Г.ТАЛДЫКОРГАН"</t>
  </si>
  <si>
    <t xml:space="preserve">ГУ АЛМАТИНСКИЙ ОБЛАСТНОЙ ЦЕНТР ПСИХИЧЕСКОГО ЗДОРОВЬЯ </t>
  </si>
  <si>
    <t>ГУЗ АЛМАТИНСКИЙ РЕГИОНАЛЬНЫЙ ТУБЕРКУЛЕЗНЫЙ ДИСПАНСЕР</t>
  </si>
  <si>
    <t>"Талдықорған қ. "Облыстық туберкулез диспансері" денсаулық сақтау мемлекеттік мекеме</t>
  </si>
  <si>
    <t>ГУ ТАЛДЫКОРГАНСКИЙ РЕГИОНАЛЬНЫЙ ПСИХОНЕВРОЛОГИЧЕСКИЙ ДИСПАНСЕР</t>
  </si>
  <si>
    <t>ГУ «ДЕТСКИЙ  ПРОТИВОТУБЕРКУЛЕЗНЫЙ  САНАТОРИЙ ШЫМБУЛАК»</t>
  </si>
  <si>
    <t xml:space="preserve">ГУЗ ТАЛДЫКОРГАНСКИТЙ ДЕТСКИЙ  ПРОТИВОТУБЕРКУЛЕЗНЫЙ САНАТОРИЙ </t>
  </si>
  <si>
    <t>ГУЗ ТУБЕРКУЛЕЗНАЯ БОЛЬНИЦА С.ШЕЛЕК Енбекшиказахского района</t>
  </si>
  <si>
    <t>Балқаш ауданының Бақанас ауылындағы  "Ауданаралық туберкулезге қарсы аурухана" мемлекеттік денсаулық сақтау мекемесі</t>
  </si>
  <si>
    <t xml:space="preserve">Жамбыл өкпе аурулары ауруханасы мемлекеттік мекемесі  </t>
  </si>
  <si>
    <t xml:space="preserve">ГУЗ Илийская туберкулезная больница </t>
  </si>
  <si>
    <t>ГКП на ПХВ Аксуская ЦРБ</t>
  </si>
  <si>
    <t>ГКП на ПХВ Алакольская ЦРБ</t>
  </si>
  <si>
    <t>ГКП на ПХВ Балхашская ЦРБ</t>
  </si>
  <si>
    <t>ГКП на ПХВ Енбекшиказахская ЦРБ</t>
  </si>
  <si>
    <t>ГКП на ПХВ Жамбылская ЦРБ</t>
  </si>
  <si>
    <t>ГКП на ПХВ Каратальская ЦРБ</t>
  </si>
  <si>
    <t>ГКП на ПХВ Кербулакская ЦРБ</t>
  </si>
  <si>
    <t>ГКП на ПХВ Коксуская ЦРБ</t>
  </si>
  <si>
    <t>ГКП на ПХВ Панфиловская ЦРБ</t>
  </si>
  <si>
    <t>ГКП на ПХВ Раймбекская ЦРБ</t>
  </si>
  <si>
    <t>ГКП на ПХВ Саркандская ЦРБ</t>
  </si>
  <si>
    <t>ГКП на ПХВ Уйгурская ЦРБ</t>
  </si>
  <si>
    <t>ГКП на ПХВ Капчагайская ГБ</t>
  </si>
  <si>
    <t>ГКП на ПХВ Текелийская ГБ</t>
  </si>
  <si>
    <t>ГКП на ПХВ Районная больница с.Шелек</t>
  </si>
  <si>
    <t xml:space="preserve">ГКП на ПХВ Районная больница с.Нарынкол </t>
  </si>
  <si>
    <t xml:space="preserve">ГКП на ПХВ Районная больница с.Кабанбай </t>
  </si>
  <si>
    <t>ГКП на ПХВ  Областной наркологический диспансер</t>
  </si>
  <si>
    <t>ГКП на ПХВ Алматинский региональный нарко диспансер</t>
  </si>
  <si>
    <t xml:space="preserve">ГУЗ Саркандская туберкулезная больница </t>
  </si>
  <si>
    <t>ГУ Управление здравоохранения Алматинской области</t>
  </si>
  <si>
    <t>СК "Фармация"</t>
  </si>
  <si>
    <t>атырау</t>
  </si>
  <si>
    <t>ГКП на ПХВ "Центральная районная больница Байзакского района"</t>
  </si>
  <si>
    <t>ГКП на ПХВ "Центральная районная больница Жамбылского района"</t>
  </si>
  <si>
    <t>ГКП на ПХВ "Центральная районная больница Жуалынского района"</t>
  </si>
  <si>
    <t>ГКП на ПХВ "Центральная районная больница Кордайского района"</t>
  </si>
  <si>
    <t>ГКП на ПХВ "Центральная районная больница Меркенского района"</t>
  </si>
  <si>
    <t>ГКП на ПХВ "Центральная районная больница Мойынкумского района"</t>
  </si>
  <si>
    <t>ГКП на ПХВ "Центральная районная больница Т.Рыскуловского района"</t>
  </si>
  <si>
    <t>ГКП на ПХВ "Центральная районная больница Сарысуского района"</t>
  </si>
  <si>
    <t>ГКП на ПХВ "Центральная районная больница Таласского района"</t>
  </si>
  <si>
    <t>ГКП на ПХВ "Центральная районная больница Шуского района"</t>
  </si>
  <si>
    <t>КГУ "Противотуберкулезная больница Байзакского района"</t>
  </si>
  <si>
    <t>КГУ "Противотуберкулезный диспансер Жамбылского района"</t>
  </si>
  <si>
    <t>КГУ "Противотуберкулезный диспансер Жуалынского района"</t>
  </si>
  <si>
    <t>КГУ "Противотуберкулезная больница Кордайского района"</t>
  </si>
  <si>
    <t>КГУ "Противотуберкулезный диспансер  Меркенского района"</t>
  </si>
  <si>
    <t>КГУ "Противотуберкулезная больница Мойынкумского района"</t>
  </si>
  <si>
    <t>КГУ "Противотуберкулезный диспансер  района им. Т.Рыскулова"</t>
  </si>
  <si>
    <t>КГУ "Противотуберкулезный диспансер Сарысуского района"</t>
  </si>
  <si>
    <t>КГУ "Противотуберкулезный диспансер Таласского района"</t>
  </si>
  <si>
    <t>КГУ "Противотуберкулезная больница Шуского района"</t>
  </si>
  <si>
    <t>КГУ "Жамбылский областной противотуберкулезный диспансер"</t>
  </si>
  <si>
    <t>КГУ "Жамбылский областной детский противотуберкулезный санаторий"</t>
  </si>
  <si>
    <t>КГУ "Жамбылский областной центр СПИД"</t>
  </si>
  <si>
    <t>КГУ "Жамбылская областная детская инфекционная больница"</t>
  </si>
  <si>
    <t>ГКП на ПХВ  "Городская  детская больница № 1"</t>
  </si>
  <si>
    <t>ГКП на ПХВ  "Жамбылский областной психоневрологический диспансер"</t>
  </si>
  <si>
    <t>ГКП на ПХВ  "Жамбылский областной наркологический  диспансер"</t>
  </si>
  <si>
    <t>Учреждение "Наркологический психотерапевтический центр доктора Лукьяненко Ю.В."</t>
  </si>
  <si>
    <t>ГКП на ПХВ "Городская станция скорой медицинской помощи"</t>
  </si>
  <si>
    <t>ГКП на ПХВ "Жамбылская областная больница"</t>
  </si>
  <si>
    <t>ГКП на  ПХВ "Городская  больница" г.Шу</t>
  </si>
  <si>
    <t>Астана</t>
  </si>
  <si>
    <t>ГУ "Управление здравоохранения  ЗКО"</t>
  </si>
  <si>
    <t xml:space="preserve">ГУ "Рудненская городская психиатрическая больница " </t>
  </si>
  <si>
    <t xml:space="preserve">КГУ "Аулиекольская районная  противотуберкулезная больница"  </t>
  </si>
  <si>
    <t xml:space="preserve">ГУ "Аркалыкский городской психоневрологический диспансер"  </t>
  </si>
  <si>
    <t>КГУ "Костанайский областной противотуберкулезный диспансер "</t>
  </si>
  <si>
    <t xml:space="preserve">КГУ "Костанайский областной противотуберкулезный санаторий имени М.Карабаева"  </t>
  </si>
  <si>
    <t xml:space="preserve">КГУ "Аркалыкский региональный  противотуберкулезный диспансер" </t>
  </si>
  <si>
    <t>КГУ "Рудненский противотуберкулезный диспансер " Управления здравоохранения  акимата Костанайской области</t>
  </si>
  <si>
    <t xml:space="preserve">КГУ "Рудненский детский противотуберкулезный санаторий"  </t>
  </si>
  <si>
    <t xml:space="preserve">ГУ "Костанайская областная психиатрическая больница"  </t>
  </si>
  <si>
    <t xml:space="preserve">КГУ"Затобольская межрайонная противотуберкулезная больница " </t>
  </si>
  <si>
    <t>ГУ "Рудненская городская психиатрическая больница "</t>
  </si>
  <si>
    <t xml:space="preserve">КГУ "Рудненский противотуберкулезный диспансер " </t>
  </si>
  <si>
    <t>КГУ "Инфекционная больница г.Темиртау"</t>
  </si>
  <si>
    <t>КГУ "Областной противотуберкулезный санаторий "Шипагер" Абайского района села Жартас"</t>
  </si>
  <si>
    <t>КГП "Центральная районная больница Нуринского района"</t>
  </si>
  <si>
    <t>КГП "Центральная районная больница  Каркаралинского района"</t>
  </si>
  <si>
    <t xml:space="preserve">КГП "Областной наркологический диспансер" </t>
  </si>
  <si>
    <t>КГП "Центральная районная больница Жанааркинского района"</t>
  </si>
  <si>
    <t>КГП "Центральная больница г Каражал"</t>
  </si>
  <si>
    <t>КГП "Центральная  больница г.Жезказган"</t>
  </si>
  <si>
    <t xml:space="preserve">КГП "Центральная районная больница Абайского района"  </t>
  </si>
  <si>
    <t xml:space="preserve">КГКП "Центральная районная больница Актогайского района" </t>
  </si>
  <si>
    <t>КГП "Центральная районная больница Шетского района"</t>
  </si>
  <si>
    <t xml:space="preserve">КГП "Центральная  больница г. Балхаш" </t>
  </si>
  <si>
    <t>КГП «Областной противотуберкулезный диспансер»</t>
  </si>
  <si>
    <t xml:space="preserve">КГКП "Центральная  больница №1 г.Сатпаев" </t>
  </si>
  <si>
    <t>КГКП "Областная наркологическая организация  для принудительного лечения"</t>
  </si>
  <si>
    <t xml:space="preserve">КГКП «Противотуберкулезный диспансер города Балхаш» </t>
  </si>
  <si>
    <t xml:space="preserve">КГКП "Противотуберкулезный диспансер города Темиртау" </t>
  </si>
  <si>
    <t xml:space="preserve">КГКП "Противотуберкулезный диспансер города Жезказган" </t>
  </si>
  <si>
    <t>ГКП на ПХВ Аральская ЦРБ с АПУ</t>
  </si>
  <si>
    <t>ГКП на ПХВ Казалинская ЦРБ с АПУ</t>
  </si>
  <si>
    <t>ГКП на ПХВ Кармакшинская ЦРБ с АПУ</t>
  </si>
  <si>
    <t>ГКП на ПХВ Жалагашская ЦРБ с АПУ</t>
  </si>
  <si>
    <t>ГКП на ПХВ Сырдаринская ЦРБ с АПУ</t>
  </si>
  <si>
    <t>ГКП на ПХВ Шиелинская ЦРБ с АПУ</t>
  </si>
  <si>
    <t>ГКП на ПХВ Жанакорганский ЦРБ с АПУ</t>
  </si>
  <si>
    <t xml:space="preserve">ГУ Аральский противотуберкулезный диспансер </t>
  </si>
  <si>
    <t xml:space="preserve">ГУ Казалинский противотуберкулезный диспансер </t>
  </si>
  <si>
    <t xml:space="preserve">ГУ Кармакшинский противотуберкулезный диспансер </t>
  </si>
  <si>
    <t xml:space="preserve">ГУ Жалагашский противотуберкулезный диспансер </t>
  </si>
  <si>
    <t xml:space="preserve">ГУ Сырдаринский противотуберкулезный диспансер </t>
  </si>
  <si>
    <t xml:space="preserve">ГУ Шиелинский  противотуберкулезный диспансер </t>
  </si>
  <si>
    <t xml:space="preserve">ГУ Жанакорганский  противотуберкулезный диспансер </t>
  </si>
  <si>
    <t xml:space="preserve">ГУ Областной детский противотуберкулезный санаторий </t>
  </si>
  <si>
    <t xml:space="preserve">ГУ Областной взрослый  противотуберкулезный санаторий </t>
  </si>
  <si>
    <t xml:space="preserve">ГУ Городской противотуберкулезный диспансер </t>
  </si>
  <si>
    <t xml:space="preserve">ГУ Областной противотуберкулезный диспансер </t>
  </si>
  <si>
    <t xml:space="preserve">ГКП на ПХВ Областная инфекционная больница </t>
  </si>
  <si>
    <t xml:space="preserve">ГУ Областная психоневрологическая больница </t>
  </si>
  <si>
    <t>ГУ "Спид центр"</t>
  </si>
  <si>
    <t xml:space="preserve">ГКП на ПХВ Областной наркологический центр </t>
  </si>
  <si>
    <t>Байконыр</t>
  </si>
  <si>
    <t xml:space="preserve">Филиал АО  "Республиканский детский реаблитационный центр </t>
  </si>
  <si>
    <t>Караганда</t>
  </si>
  <si>
    <t>Костанай</t>
  </si>
  <si>
    <t>Мангистау</t>
  </si>
  <si>
    <t>Областной  психдиспансер</t>
  </si>
  <si>
    <t>Областной  СПИД- центр</t>
  </si>
  <si>
    <t>Детский  тубсанаторий</t>
  </si>
  <si>
    <t>Областной  тубдиспансер</t>
  </si>
  <si>
    <t>Областная инфекция</t>
  </si>
  <si>
    <t>Управление  здравоохранения</t>
  </si>
  <si>
    <t>Туббольница  г  Экибастуз</t>
  </si>
  <si>
    <t>Туббольница  г  Аксу</t>
  </si>
  <si>
    <t>Майский  район</t>
  </si>
  <si>
    <t>Областные  организации</t>
  </si>
  <si>
    <t>г. Павлодар</t>
  </si>
  <si>
    <t>Областной  наркодиспансер</t>
  </si>
  <si>
    <t>г. Экибастуз</t>
  </si>
  <si>
    <t>Туббольница  г Экибастуз</t>
  </si>
  <si>
    <t>Горбольница  г  Экибастуз</t>
  </si>
  <si>
    <t>г. Аксу</t>
  </si>
  <si>
    <t>Горбольница  г Аксу</t>
  </si>
  <si>
    <t>Актогайский  район</t>
  </si>
  <si>
    <t>Баянаульский  район</t>
  </si>
  <si>
    <t>Железинский  район</t>
  </si>
  <si>
    <t>Иртышский  район</t>
  </si>
  <si>
    <t>Качирский  район</t>
  </si>
  <si>
    <t>Лебяжинский  район</t>
  </si>
  <si>
    <t>Оплата труда</t>
  </si>
  <si>
    <t>Компенсационные выплаты</t>
  </si>
  <si>
    <t>Социальный налог</t>
  </si>
  <si>
    <t>КГУ "Областной психоневрологический диспансер"</t>
  </si>
  <si>
    <t>КГУ "Костоно-противотуберкулезная больница "Балыкши"</t>
  </si>
  <si>
    <t>КГУ "Детский туберкулезный санаторий "Ак-булак"</t>
  </si>
  <si>
    <t>КГУ "Детский противотуберкулезный санаторий "Жансая"</t>
  </si>
  <si>
    <t>КГУ "Шымкентская городская инфекционная больница"</t>
  </si>
  <si>
    <t>КГУ "Шымкентский городской противотуберкулезный диспансер"</t>
  </si>
  <si>
    <t>КГУ "Городской детский противотуберкулезный санаторий "Карлыгаш"</t>
  </si>
  <si>
    <t>КГУ "Арысская районный противотуберкулезный диспансер"</t>
  </si>
  <si>
    <t>КГУ "Байдибекский районный противотуберкулезный диспансер"</t>
  </si>
  <si>
    <t>КГУ "Казыгуртский районный противотуберкулезный диспансер"</t>
  </si>
  <si>
    <t>КГУ "Махтааральский районный противотуберкулезный диспансер"</t>
  </si>
  <si>
    <t>КГУ "Отрарский районный противотуберкулезный диспансер"</t>
  </si>
  <si>
    <t>КГУ "Сайрамский районный противотуберкулезный диспансер"</t>
  </si>
  <si>
    <t>КГУ "Сарыагашский районный противотуберкулезный диспансер"</t>
  </si>
  <si>
    <t>ГУ "Шардаринский районный противотуберкулезный диспансер"</t>
  </si>
  <si>
    <t>ГУ "Туркестанский городской противотуберкулезный диспансер"</t>
  </si>
  <si>
    <t>ГККП"Областная наркологическая больница"</t>
  </si>
  <si>
    <t>ГККП "Арысская центральная районная больница"</t>
  </si>
  <si>
    <t>ГККП "Байдибекская центральная районная больница"</t>
  </si>
  <si>
    <t>ГККП "Казыгуртская районная больница"</t>
  </si>
  <si>
    <t>ГККП "Махтааральская центральная районная больница"</t>
  </si>
  <si>
    <t>ГККП "Махтааральская районная больница "Асыката""</t>
  </si>
  <si>
    <t>ГККП "Махтааральская районная больница "Мырзакент""</t>
  </si>
  <si>
    <t>ГККП "Ордабасинская центральная районная больница"</t>
  </si>
  <si>
    <t>ГККП "Отрарская центральная районная больница"</t>
  </si>
  <si>
    <t>ГККП "Сайрамская центральная районная больница"</t>
  </si>
  <si>
    <t>ГККП "Сайрамская районная больница "Карабулак""</t>
  </si>
  <si>
    <t>ГКПП ШГДБ 1</t>
  </si>
  <si>
    <t>ГККП "Сарыагашская центральная районная больница"</t>
  </si>
  <si>
    <t>ГККП "Сарыагашская районная больница "Абай""</t>
  </si>
  <si>
    <t>ГККП "Сузакская центральная районная больница"</t>
  </si>
  <si>
    <t>ГККП "Толебийская районная больница</t>
  </si>
  <si>
    <t>ГККП "Ленгерская городская больница "</t>
  </si>
  <si>
    <t>ГККП "Тюлькубасская центральная районная больница"</t>
  </si>
  <si>
    <t>ГККП "Шардаринская центральная районная больница"</t>
  </si>
  <si>
    <t>ГККП "Туркестанская городская больница"</t>
  </si>
  <si>
    <t>ГККП "Кентауская центральная городская больница"</t>
  </si>
  <si>
    <t>ГККП "Кентауская городская поликлиника"</t>
  </si>
  <si>
    <t>Социальные отчисления в Государственный фонд социального страхования</t>
  </si>
  <si>
    <t>Приобретение лекарственных средств и прочих изделий медицинского назначения</t>
  </si>
  <si>
    <t>Оплата прочих услуг и работ</t>
  </si>
  <si>
    <t>ГУ "Управление здравоохранения акимата Южно-Казахстанской  области"</t>
  </si>
  <si>
    <t>Дополнительные денежные выплаты</t>
  </si>
  <si>
    <t>Взносы на обязательное страхование</t>
  </si>
  <si>
    <t>Оплата труда технического персонала</t>
  </si>
  <si>
    <t>Взносы работодателей по техническому персоналу</t>
  </si>
  <si>
    <t>Приобретение продуктов питания</t>
  </si>
  <si>
    <t>Приобретение топлива, горюче-смазочных материалов</t>
  </si>
  <si>
    <t>Приобретение прочих запасов</t>
  </si>
  <si>
    <t>Оплата коммунальных услуг</t>
  </si>
  <si>
    <t>Оплата услуг связи</t>
  </si>
  <si>
    <t>Оплата аренды за помещение</t>
  </si>
  <si>
    <t>Командировки и служебные разъезды внутри страны</t>
  </si>
  <si>
    <t>Прочие текущие затраты</t>
  </si>
  <si>
    <t>Трансферты физическим лицам</t>
  </si>
  <si>
    <t>и</t>
  </si>
  <si>
    <t>по состоянию на 01.01.2016 года</t>
  </si>
  <si>
    <t>тенге в среднем на домохозяйство</t>
  </si>
  <si>
    <t>в среднем на душу населения, тенге</t>
  </si>
  <si>
    <t xml:space="preserve">1.17 Үй шаруашылықтарының денсаулық сақтау саласындағы шығыстары </t>
  </si>
  <si>
    <t>коэф</t>
  </si>
  <si>
    <t>расходы населения на здравоохранение</t>
  </si>
  <si>
    <t xml:space="preserve">расходы населения </t>
  </si>
  <si>
    <t>2. Ағымдағы табыс</t>
  </si>
  <si>
    <t>2.1. Республика бойынша барлығы_x000D_
Всего по республике</t>
  </si>
  <si>
    <t>Денсаулық сақтау және әлеуметтік қызметтер_x000D_
Здравоохранение и социальные услуги</t>
  </si>
  <si>
    <t>мың теңге</t>
  </si>
  <si>
    <t>тыс.тенге</t>
  </si>
  <si>
    <t>денсаулық сақтау және әлеуметтік қызметтер</t>
  </si>
  <si>
    <t>тұратын орынмен қамтамасыз ете отырып әлеуметтік қызмет көрсету</t>
  </si>
  <si>
    <t>тұратын орнымен қамтамасыз етусіз әлеуметтік қызметтер</t>
  </si>
  <si>
    <t>адамның денсаулығын сақтау бойынша басқа қызметтер</t>
  </si>
  <si>
    <t>деятельность в области здравоохранения</t>
  </si>
  <si>
    <t>представление социальных услуг с обеспечением проживания</t>
  </si>
  <si>
    <t>предоставление социальных услуг  без обеспечения проживания</t>
  </si>
  <si>
    <t>общая врачебная практика</t>
  </si>
  <si>
    <t>специальная врачебная практика</t>
  </si>
  <si>
    <t>стоматологи-ческая деятельность</t>
  </si>
  <si>
    <t xml:space="preserve"> - республикалық бюджеттен</t>
  </si>
  <si>
    <t xml:space="preserve"> - из республиканского бюджета</t>
  </si>
  <si>
    <t xml:space="preserve">  оның ішінде гранттар:</t>
  </si>
  <si>
    <t>x</t>
  </si>
  <si>
    <t xml:space="preserve">  из них гранты:</t>
  </si>
  <si>
    <t xml:space="preserve"> -жергілікті бюджеттен</t>
  </si>
  <si>
    <t xml:space="preserve"> - из местного бюджета</t>
  </si>
  <si>
    <t xml:space="preserve"> -ерікті жарналар мен қайыр көрсету түсімдері</t>
  </si>
  <si>
    <t xml:space="preserve"> - поступления от добровольных взносов и пожертвований</t>
  </si>
  <si>
    <t xml:space="preserve">  оның ішінде: шетелден</t>
  </si>
  <si>
    <t xml:space="preserve">  из них: из-за рубежа</t>
  </si>
  <si>
    <t>Көрсетілген қызметтің және өз күшімен өндіріліп өткізілген тауардың құны</t>
  </si>
  <si>
    <t>Тауарларды алып-сатудан түскен таза табыс (аукционды қосқанда)</t>
  </si>
  <si>
    <t xml:space="preserve"> -пайыздар</t>
  </si>
  <si>
    <t xml:space="preserve"> -проценты</t>
  </si>
  <si>
    <t xml:space="preserve"> -дивиденттер</t>
  </si>
  <si>
    <t xml:space="preserve"> -дивиденты</t>
  </si>
  <si>
    <t>Басқа ағымдағы табыстарт(капиталды активтерді сатудан, т.б. түскен таза табыс)</t>
  </si>
  <si>
    <t>Другой текущий доход (чистый доход от продаж капитальных активов, арендная плата и др.)</t>
  </si>
  <si>
    <t>ГКП на ПХВ «Городская больница сестринского ухода»</t>
  </si>
  <si>
    <t>ГКП на ПХВ "Городской центр паллиативной помощи"</t>
  </si>
  <si>
    <t>Долгосрочный уход</t>
  </si>
  <si>
    <t>HC.1.3.9</t>
  </si>
  <si>
    <t>Прочие иные виды амбулаторных лечебных услуг, не поименованные отдельно</t>
  </si>
  <si>
    <t>HC.6.4</t>
  </si>
  <si>
    <t>Программа мониторинга состояния здоровья</t>
  </si>
  <si>
    <t xml:space="preserve">HC.0 </t>
  </si>
  <si>
    <t>Прочие медицинские услуги</t>
  </si>
  <si>
    <t>HP.0</t>
  </si>
  <si>
    <t>Неустановленные провайдеры медицинских услуг</t>
  </si>
  <si>
    <t>HP.5.9</t>
  </si>
  <si>
    <t>Все прочие незначительные продавцы и иные поставщики лекарственных средств и товаров медицинского назначения</t>
  </si>
  <si>
    <t>HF.1.2/HF.1.3</t>
  </si>
  <si>
    <t>Схемы обязательного медицинского страхования на основе взносов/ОМСС</t>
  </si>
  <si>
    <t>HF.2.2</t>
  </si>
  <si>
    <t>Схемы финансирования некоммерческих организаций</t>
  </si>
  <si>
    <t>HF.3.1</t>
  </si>
  <si>
    <t>HF.3.2</t>
  </si>
  <si>
    <t>HF.4.1</t>
  </si>
  <si>
    <t>HF.0</t>
  </si>
  <si>
    <t>Неустановленные схемы финансирования</t>
  </si>
  <si>
    <t>Лечение и реабилитационные услуги</t>
  </si>
  <si>
    <t>HC.1.1+HC.2.1</t>
  </si>
  <si>
    <t>HC.1+HC.2</t>
  </si>
  <si>
    <t>Медицинские услуги и реабилитационное лечение на стационарном уровне</t>
  </si>
  <si>
    <t>HC.1.2+HC.2.2</t>
  </si>
  <si>
    <t>Лечение и реабилитационные услуги в дневном стационаре</t>
  </si>
  <si>
    <t>HC.2.2</t>
  </si>
  <si>
    <t>HC.1.3+HC.2.3</t>
  </si>
  <si>
    <t>Амбулаторная лечебная и реабилитационная помощь</t>
  </si>
  <si>
    <t>HC.2.3</t>
  </si>
  <si>
    <t>HC.2.4</t>
  </si>
  <si>
    <t>HC.1.4</t>
  </si>
  <si>
    <t>Домашний лечебный уход</t>
  </si>
  <si>
    <t>HC.1.4+HC.2.4</t>
  </si>
  <si>
    <t>Домашний лечебный и реабилитационный уход</t>
  </si>
  <si>
    <t>HC.3.1</t>
  </si>
  <si>
    <t>HC.3.2</t>
  </si>
  <si>
    <t>HC.3.3</t>
  </si>
  <si>
    <t>HC.3.4</t>
  </si>
  <si>
    <t>HC.4.1</t>
  </si>
  <si>
    <t>Лабораторные услуги</t>
  </si>
  <si>
    <t>HC.5.1.1</t>
  </si>
  <si>
    <t>Дневная реабилитационная помощь</t>
  </si>
  <si>
    <t>Реабилитационная помощь на дому</t>
  </si>
  <si>
    <t>Стационарная долгосрочная помощь (медицинская)</t>
  </si>
  <si>
    <t>Дневные случаи долгосрочной помощи (медицинские)</t>
  </si>
  <si>
    <t>Амбулаторная долгосрочная помощь (медицинская)</t>
  </si>
  <si>
    <t>Долгосрочная помощь (медицинская) на дому</t>
  </si>
  <si>
    <t>Лекарства, отпускаемые по рецепту</t>
  </si>
  <si>
    <t>HC.5.1.2</t>
  </si>
  <si>
    <t>Лекарства, отпускаемые без рецепта</t>
  </si>
  <si>
    <t>HC.5.1.3</t>
  </si>
  <si>
    <t>Прочие медицинские товары недлительного пользования</t>
  </si>
  <si>
    <t>HC.6.6</t>
  </si>
  <si>
    <t>Программы подготовки к стихийным бедствиям и реагированию на чрезвычайные ситуации</t>
  </si>
  <si>
    <t>HP.2.1</t>
  </si>
  <si>
    <t>HP.2.2</t>
  </si>
  <si>
    <t>Учреждения для душевнобольных и наркозависимых</t>
  </si>
  <si>
    <t>HP.3.5</t>
  </si>
  <si>
    <t>Поставщики медицинских услуг на дому</t>
  </si>
  <si>
    <t>HP.4.2</t>
  </si>
  <si>
    <t>Медицинские и диагностические лаборатории</t>
  </si>
  <si>
    <t>HP.7.2</t>
  </si>
  <si>
    <t>Агенства социального медицинского страхования</t>
  </si>
  <si>
    <t>HP.7.9</t>
  </si>
  <si>
    <t>Прочие административные органы здравоохрнения</t>
  </si>
  <si>
    <t>HP.8.1</t>
  </si>
  <si>
    <t>Домохозяйства как поставщики медицинских услуг на дому</t>
  </si>
  <si>
    <t>Амбулаторная реабилитационная помощь</t>
  </si>
  <si>
    <t>HP.4.9</t>
  </si>
  <si>
    <t>Прочие поставщики вспомогательных услуг</t>
  </si>
  <si>
    <t>Прочие административные органы здравоохранения</t>
  </si>
  <si>
    <t>FS.1.2</t>
  </si>
  <si>
    <t>Государственные трансферты за определённые группы населения</t>
  </si>
  <si>
    <t>FS.1.3</t>
  </si>
  <si>
    <t>Субсидии</t>
  </si>
  <si>
    <t>FS.1.4</t>
  </si>
  <si>
    <t>Прочие трансферты из государственных внутренних доходов</t>
  </si>
  <si>
    <t>FS.2</t>
  </si>
  <si>
    <t>Трансферты, выделенные государством из доходов иностранного происхождения</t>
  </si>
  <si>
    <t>FS.3</t>
  </si>
  <si>
    <t>Взносы на социальное страхование</t>
  </si>
  <si>
    <t>FS.3.1</t>
  </si>
  <si>
    <t>Взносы работников на социальное страхование</t>
  </si>
  <si>
    <t>FS.3.2</t>
  </si>
  <si>
    <t>Взносы работодателей на социальное страхование</t>
  </si>
  <si>
    <t>FS.3.3</t>
  </si>
  <si>
    <t>Взносы самозанятых на социальное страхование</t>
  </si>
  <si>
    <t>FS.3.4</t>
  </si>
  <si>
    <t>Прочие взносы на на социальное страхование</t>
  </si>
  <si>
    <t>FS.4</t>
  </si>
  <si>
    <t>Обязательная предоплата (кроме FS.3)</t>
  </si>
  <si>
    <t>Прямые зарубежные трансферты</t>
  </si>
  <si>
    <t>FS.7.2</t>
  </si>
  <si>
    <t>Прямая иностранная помощь в натуральной форме</t>
  </si>
  <si>
    <t>Выплаты из кармана, за исключением разделения затрат</t>
  </si>
  <si>
    <t>Разделение затрат с плательщиками, являющимися третьей стороной</t>
  </si>
  <si>
    <t>Обязательные схемы (нерезидентские)</t>
  </si>
  <si>
    <t>Добровольные схемы (нерезидентские)</t>
  </si>
  <si>
    <t>Добровольные Схемы(нерезидентские)</t>
  </si>
  <si>
    <t>Sorry, the query is too large to fit into the Excel cell. You will not be able to update your table with the .Stat Populator.</t>
  </si>
  <si>
    <t>Dataset: Creditor Reporting System (CRS)</t>
  </si>
  <si>
    <t>Recipient</t>
  </si>
  <si>
    <t>Kazakhstan</t>
  </si>
  <si>
    <t>Sector</t>
  </si>
  <si>
    <t>120: I.2. Health, Total</t>
  </si>
  <si>
    <t>Flow</t>
  </si>
  <si>
    <t>Official Development Assistance</t>
  </si>
  <si>
    <t>Channel</t>
  </si>
  <si>
    <t>All Channels</t>
  </si>
  <si>
    <t>Flow type</t>
  </si>
  <si>
    <t>Commitments</t>
  </si>
  <si>
    <t>Type of aid</t>
  </si>
  <si>
    <t>All Types, Total</t>
  </si>
  <si>
    <t>Amount type</t>
  </si>
  <si>
    <t>Constant Prices</t>
  </si>
  <si>
    <t>Unit</t>
  </si>
  <si>
    <t>US Dollar, Millions, 2015</t>
  </si>
  <si>
    <t>Year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</si>
  <si>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</si>
  <si>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</si>
  <si>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</si>
  <si>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</si>
  <si>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</si>
  <si>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</si>
  <si>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</si>
  <si>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</si>
  <si>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</si>
  <si>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</si>
  <si>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Donor</t>
  </si>
  <si>
    <t>All Donors, Total</t>
  </si>
  <si>
    <t xml:space="preserve">  DAC Countries, Total</t>
  </si>
  <si>
    <t xml:space="preserve">    Australia</t>
  </si>
  <si>
    <t>..</t>
  </si>
  <si>
    <t xml:space="preserve">    Austria</t>
  </si>
  <si>
    <t xml:space="preserve">    Belgium</t>
  </si>
  <si>
    <t xml:space="preserve">    Canada</t>
  </si>
  <si>
    <t xml:space="preserve">    Czech Republic</t>
  </si>
  <si>
    <t xml:space="preserve">    Denmark</t>
  </si>
  <si>
    <t xml:space="preserve">    Finland</t>
  </si>
  <si>
    <t xml:space="preserve">    France</t>
  </si>
  <si>
    <t xml:space="preserve">    Germany</t>
  </si>
  <si>
    <t xml:space="preserve">    Greece</t>
  </si>
  <si>
    <t xml:space="preserve">    Hungary</t>
  </si>
  <si>
    <t xml:space="preserve">    Iceland</t>
  </si>
  <si>
    <t xml:space="preserve">    Ireland</t>
  </si>
  <si>
    <t xml:space="preserve">    Italy</t>
  </si>
  <si>
    <t xml:space="preserve">    Japan</t>
  </si>
  <si>
    <t xml:space="preserve">    Korea</t>
  </si>
  <si>
    <t xml:space="preserve">    Luxembourg</t>
  </si>
  <si>
    <t xml:space="preserve">    Netherlands</t>
  </si>
  <si>
    <t xml:space="preserve">    New Zealand</t>
  </si>
  <si>
    <t xml:space="preserve">    Norway</t>
  </si>
  <si>
    <t xml:space="preserve">    Poland</t>
  </si>
  <si>
    <t xml:space="preserve">    Portugal</t>
  </si>
  <si>
    <t xml:space="preserve">    Slovak Republic</t>
  </si>
  <si>
    <t xml:space="preserve">    Slovenia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</si>
  <si>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</si>
  <si>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</si>
  <si>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</si>
  <si>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</si>
  <si>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United States</t>
  </si>
  <si>
    <t xml:space="preserve">  Multilaterals, Total</t>
  </si>
  <si>
    <t xml:space="preserve">    EU Institutions</t>
  </si>
  <si>
    <t xml:space="preserve">    International Monetary Fund, Total</t>
  </si>
  <si>
    <t xml:space="preserve">      IMF (Concessional Trust Funds)</t>
  </si>
  <si>
    <t xml:space="preserve">    Regional Development Banks, Total</t>
  </si>
  <si>
    <t xml:space="preserve">      African Development Bank, Total</t>
  </si>
  <si>
    <t xml:space="preserve">        African Development Bank [AfDB]</t>
  </si>
  <si>
    <t xml:space="preserve">        African Development Fund [AfDF]</t>
  </si>
  <si>
    <t xml:space="preserve">      Asian Development Bank, Total</t>
  </si>
  <si>
    <t xml:space="preserve">        Asian Development Bank [AsDB]</t>
  </si>
  <si>
    <t xml:space="preserve">        AsDB Special Funds</t>
  </si>
  <si>
    <t xml:space="preserve">      Inter-American Development Bank, Total</t>
  </si>
  <si>
    <t xml:space="preserve">        Inter-American Development Bank [IDB]</t>
  </si>
  <si>
    <t xml:space="preserve">        IDB Special Fund</t>
  </si>
  <si>
    <t xml:space="preserve">      Caribbean Development Bank [CarDB]</t>
  </si>
  <si>
    <t xml:space="preserve">      Council of Europe Development Bank [CEB]</t>
  </si>
  <si>
    <t xml:space="preserve">      European Bank for Reconstruction and Development [EBRD]</t>
  </si>
  <si>
    <t xml:space="preserve">      Islamic Development Bank [IsDB]</t>
  </si>
  <si>
    <t xml:space="preserve">    United Nations, Total</t>
  </si>
  <si>
    <t xml:space="preserve">      Food and Agriculture Organisation [FAO]</t>
  </si>
  <si>
    <t xml:space="preserve">      International Atomic Energy Agency [IAEA]</t>
  </si>
  <si>
    <t xml:space="preserve">      IFAD</t>
  </si>
  <si>
    <t xml:space="preserve">      International Labour Organisation [ILO]</t>
  </si>
  <si>
    <t xml:space="preserve">      UNAIDS</t>
  </si>
  <si>
    <t xml:space="preserve">      UNDP</t>
  </si>
  <si>
    <t xml:space="preserve">      UNECE</t>
  </si>
  <si>
    <t xml:space="preserve">      UNEP</t>
  </si>
  <si>
    <t xml:space="preserve">      UNFPA</t>
  </si>
  <si>
    <t xml:space="preserve">      UNHCR</t>
  </si>
  <si>
    <t xml:space="preserve">      UNICEF</t>
  </si>
  <si>
    <t xml:space="preserve">      UN Peacebuilding Fund [UNPBF]</t>
  </si>
  <si>
    <t xml:space="preserve">      UNRWA</t>
  </si>
  <si>
    <t xml:space="preserve">      WFP</t>
  </si>
  <si>
    <t xml:space="preserve">      World Health Organisation [WHO]</t>
  </si>
  <si>
    <t xml:space="preserve">    World Bank Group</t>
  </si>
  <si>
    <t xml:space="preserve">      World Bank, Total</t>
  </si>
  <si>
    <t xml:space="preserve">        International Bank for Reconstruction and Development [IBRD]</t>
  </si>
  <si>
    <t xml:space="preserve">        International Development Association [IDA]</t>
  </si>
  <si>
    <t xml:space="preserve">      International Finance Corporation [IFC]</t>
  </si>
  <si>
    <t xml:space="preserve">    Other Multilateral, Total</t>
  </si>
  <si>
    <t xml:space="preserve">      Adaptation Fund</t>
  </si>
  <si>
    <t xml:space="preserve">      Arab Bank for Economic Development in Africa [BADEA]</t>
  </si>
  <si>
    <t xml:space="preserve">      Arab Fund (AFESD)</t>
  </si>
  <si>
    <t xml:space="preserve">      Climate Investment Funds [CIF]</t>
  </si>
  <si>
    <t xml:space="preserve">      Global Alliance for Vaccines and Immunization [GAVI]</t>
  </si>
  <si>
    <t xml:space="preserve">      Global Environment Facility [GEF]</t>
  </si>
  <si>
    <t xml:space="preserve">      Global Fund</t>
  </si>
  <si>
    <t xml:space="preserve">      Global Green Growth Institute [GGGI]</t>
  </si>
  <si>
    <t xml:space="preserve">      Montreal Protocol</t>
  </si>
  <si>
    <t xml:space="preserve">      Nordic Development Fund [NDF]</t>
  </si>
  <si>
    <t xml:space="preserve">      OPEC Fund for International Development [OFID]</t>
  </si>
  <si>
    <t xml:space="preserve">      OSCE</t>
  </si>
  <si>
    <t xml:space="preserve">  Non-DAC Countries, Total</t>
  </si>
  <si>
    <t xml:space="preserve">    Azerbaijan</t>
  </si>
  <si>
    <t xml:space="preserve">    Bulgaria</t>
  </si>
  <si>
    <t xml:space="preserve">    Croatia</t>
  </si>
  <si>
    <t xml:space="preserve">    Cyprus</t>
  </si>
  <si>
    <t xml:space="preserve">    Estonia</t>
  </si>
  <si>
    <t xml:space="preserve">    Israel</t>
  </si>
  <si>
    <t xml:space="preserve">    Kazakhstan</t>
  </si>
  <si>
    <t xml:space="preserve">    Kuwait (KFAED)</t>
  </si>
  <si>
    <t xml:space="preserve">    Latvia</t>
  </si>
  <si>
    <t xml:space="preserve">    Liechtenstein</t>
  </si>
  <si>
    <t xml:space="preserve">    Lithuania</t>
  </si>
  <si>
    <t xml:space="preserve">    Malta</t>
  </si>
  <si>
    <t xml:space="preserve">    Romania</t>
  </si>
  <si>
    <t xml:space="preserve">    Russia</t>
  </si>
  <si>
    <t xml:space="preserve">    Saudi Arabia</t>
  </si>
  <si>
    <t xml:space="preserve">    Chinese Taipei</t>
  </si>
  <si>
    <t xml:space="preserve">    Thailand</t>
  </si>
  <si>
    <t xml:space="preserve">    Timor-Leste</t>
  </si>
  <si>
    <t xml:space="preserve">    Turkey</t>
  </si>
  <si>
    <t xml:space="preserve">    United Arab Emirates</t>
  </si>
  <si>
    <t xml:space="preserve">  Memo: Private Donors, Total</t>
  </si>
  <si>
    <t xml:space="preserve">    Bill &amp; Melinda Gates Foundation</t>
  </si>
  <si>
    <t>Data extracted on 12 Jun 2017 08:22 UTC (GMT) from OECD.Stat</t>
  </si>
  <si>
    <t>615 МО</t>
  </si>
  <si>
    <t>больница/стационар</t>
  </si>
  <si>
    <t>Обеспечение населения медицинской помощью в рамках Единой национальной системы здравоохранения</t>
  </si>
  <si>
    <t>Лизинг</t>
  </si>
  <si>
    <t>Представительство ТОО "B.B. NURA" - "Центр амбулаторного диализа" в г. Кокшетау</t>
  </si>
  <si>
    <t>Товарищество с ограниченной ответственностью «Центр красоты и здоровья «Айгерим»»</t>
  </si>
  <si>
    <t>Товарищество с ограниченной ответственностью "Ар-Абат" г.Талгар</t>
  </si>
  <si>
    <t>Товарищество с ограниченной ответственностью "Ар-Абат" г.Ушарал</t>
  </si>
  <si>
    <t>Товарищество с ограниченной ответственостью "Медицинская компания "Нефромед"</t>
  </si>
  <si>
    <t>Товарищество с ограниченной ответственностью "Фрезениус Медикал Кейр Казахстан</t>
  </si>
  <si>
    <t>Товарищество с органиченной ответсвенностью "ALZAMER" г.Капшагай</t>
  </si>
  <si>
    <t>Товарищество с ограниченной ответственностью "Клиника SBS med""</t>
  </si>
  <si>
    <t>Государственное коммунальное предприятие на праве хозяйственного ведения "Городская поликлиника №26" Управления здравоохранения города Алматы</t>
  </si>
  <si>
    <t>Товарищество с ограниченной ответственностью "Медцентр - Рахат"</t>
  </si>
  <si>
    <t>Товарищество с ограниченной ответственностью ''Medical Park"</t>
  </si>
  <si>
    <t>Государственное коммунальное предприятие на праве хозяйственного ведения "Городская поликлиника №27" Управления здравоохранения города Алматы</t>
  </si>
  <si>
    <t>Государственное коммунальное предприятие на праве хозяйственного ведения "Городская поликлиника №29" Управления здравоохранения города Алматы</t>
  </si>
  <si>
    <t>Товарищество с ограниченной ответственностью "HealthGuard"</t>
  </si>
  <si>
    <t>Товарищество с ограниченной ответственностью "Центр неврологии и реабилитации "Aspasia"</t>
  </si>
  <si>
    <t>Товарищество с ограниченной ответственностью "Институт хирургии"</t>
  </si>
  <si>
    <t>Товарищество с ограниченной ответственностью "TESM Company"</t>
  </si>
  <si>
    <t>Коммунальное государственное предприятие на праве хозяйственного ведения «Городская поликлиника №13» акимата города Астаны</t>
  </si>
  <si>
    <t>Государственное коммунальное предприятие на праве хозяйственного ведения «Городская поликлиника №11» акимата города Астаны</t>
  </si>
  <si>
    <t>НУ СВА "Интертич"</t>
  </si>
  <si>
    <t>Товарищество с ограниченной ответственностью "Медцентр НИКОС"</t>
  </si>
  <si>
    <t>КФ «UNIVERSITY MEDICAL CENTER»</t>
  </si>
  <si>
    <t>Товарищество с ограниченной ответственностью "Медикер педиатрия"</t>
  </si>
  <si>
    <t>Товарищество с ограниченной ответственностью «Belon medical»</t>
  </si>
  <si>
    <t>Товарищество с ограниченной ответственностью «МОД и Компания»</t>
  </si>
  <si>
    <t>Товарищество с ограниченной ответственностью «Medlive.kz»</t>
  </si>
  <si>
    <t>Товарищество с ограниченной ответственностью "Интелмед"</t>
  </si>
  <si>
    <t>Товарищество с ограниченной ответственностью Иновационно-Медицинский Центр "Мейірім"</t>
  </si>
  <si>
    <t>Товарищество с ограниченной ответственностью "Ем Алу плюс"</t>
  </si>
  <si>
    <t>Коммунальное государственное предприятие на праве хозяйственного ведения "Городская больница №4 г. Усть-Каменогорска" Управления здравоохранения Восточно-Казахстанской области</t>
  </si>
  <si>
    <t>Коммунальное государственное предприятие на праве хозяйственного ведения "Восточно-Казахстанский областной реабилитационный центр" управления здравоохранения Восточно-Казахстанской области</t>
  </si>
  <si>
    <t>Товарищество с ограниченной ответственностью "ЖАН-ЕР" (г.Семей)</t>
  </si>
  <si>
    <t>Товарищество с ограниченной ответственностью "Санаторий Ак ниет"</t>
  </si>
  <si>
    <t>Государственное коммунальное предприятие на праве хозяйственного ведения "Таскалинская центральная районная больница" управления здравоохранения акимата Западно-Казахстанской области</t>
  </si>
  <si>
    <t>Товарищество с ограниченной ответственностью "Батыс АвиГип"</t>
  </si>
  <si>
    <t>Товарищество с ограниченной ответственностью "MDVision"</t>
  </si>
  <si>
    <t>Товарищество с ограниченной ответственностью "Центр офтальмологии "ГлазоЛик"</t>
  </si>
  <si>
    <t>Товарищество с ограниченной ответственностью "Медицинский центр "Будь здоров"</t>
  </si>
  <si>
    <t>Товарищество с ограниченной ответственностью "Желкуар"</t>
  </si>
  <si>
    <t>ТОВАРИЩЕСТВО С ОГРАНИЧЕННОЙ ОТВЕТСТВЕННОСТЬЮ "Медицинский центр "МИРАС"</t>
  </si>
  <si>
    <t>ТОВАРИЩЕСТВО С ОГРАНИЧЕННОЙ ОТВЕТСТВЕННОСТЬЮ "Медицинский центр "Зрение"</t>
  </si>
  <si>
    <t>Филиал Товарищество с ограниченной ответственностью "Фрезениус Медикал Кейр Казахстан" в городе Костанай</t>
  </si>
  <si>
    <t>Тоо Medium</t>
  </si>
  <si>
    <t>ТОО "КЛИНИКА ИНТЕРТИЧ"</t>
  </si>
  <si>
    <t>Товарищество с ограниченной ответственностью "Дария Мед"</t>
  </si>
  <si>
    <t>Товарищество с ограниченной ответственностью "МЕДИКЕР ПЛЮС"</t>
  </si>
  <si>
    <t>ТОО Медицинский центр Жалымбетов</t>
  </si>
  <si>
    <t>ТОО  Офтальмологическая клиника «КӨЗҚАРАС»</t>
  </si>
  <si>
    <t>НМУ "Детский санаторий "Солнечный"</t>
  </si>
  <si>
    <t>Товарищество с ограниченной ответственностью "Центр семейной медицины "Панацея""</t>
  </si>
  <si>
    <t>Товарищество с ограниченной ответственностью "Медицинский центр Help clinic"</t>
  </si>
  <si>
    <t>Учреждение "Клиника Международного Казахско-Турецкого университета имени Ходжи Ахмета Ясави"</t>
  </si>
  <si>
    <t>Учреждение "Лечебно-оздоровительный центр "Санитас"</t>
  </si>
  <si>
    <t>Товарищество с ограниченной ответственностью "Сымбат-Нұр"</t>
  </si>
  <si>
    <t>Товарищество с ограниченной ответственностью "REN clinik"</t>
  </si>
  <si>
    <t>Товарищество с ограниченной ответственностью "Kuandyk-R corporation"</t>
  </si>
  <si>
    <t>Товарищество с ограниченной ответственностью "Клиника DL-ЭКО"</t>
  </si>
  <si>
    <t>Товарищество с ограниченной ответственностью "Мед Алатау"</t>
  </si>
  <si>
    <t>Товарищество с ограниченной ответственностью "Алинур и К"</t>
  </si>
  <si>
    <t>Товарищество с ограниченной ответственностью "CARDIO PLUS"</t>
  </si>
  <si>
    <t>Товарищество с ограниченной ответственностью "Вита Клиника"</t>
  </si>
  <si>
    <t>109</t>
  </si>
  <si>
    <t>Оказание высокоспециализированной медицинской помощи, за исключением направлений, финансируемых в рамках Единой национальной системы здравоохранения</t>
  </si>
  <si>
    <t>Оказание специализированной медицинской помощи, за исключением направлений, финансируемых в рамках Единой национальной системы здравоохранения</t>
  </si>
  <si>
    <t>Обеспечение населения медицинской помощью, за исключением направлений, финансируемых в рамках Единой национальной системы здравоохранения, и развитие инфраструктуры</t>
  </si>
  <si>
    <t>инновации</t>
  </si>
  <si>
    <t>зож</t>
  </si>
  <si>
    <t>кровь</t>
  </si>
  <si>
    <t>сан-я</t>
  </si>
  <si>
    <t xml:space="preserve">ГБ </t>
  </si>
  <si>
    <t>сумма 253+353</t>
  </si>
  <si>
    <t>ГУ "Управление здравоохранения Акмолинской области"</t>
  </si>
  <si>
    <t>ГККП "Акмолинский областной противотуберкулзный диспансер"</t>
  </si>
  <si>
    <t>ГККП "Аккольская ЦРБ"</t>
  </si>
  <si>
    <t>ГККП "Астраханская ЦРБ"</t>
  </si>
  <si>
    <t>ГККП "Акмолинская областная психиатрическая больница"</t>
  </si>
  <si>
    <t>ГККП "Атбасарская ММБ"</t>
  </si>
  <si>
    <t>ГККП "Аршалынская ЦРБ"</t>
  </si>
  <si>
    <t>ГККП "Жаркаинская ЦРБ"</t>
  </si>
  <si>
    <t>ГККП "Жаксынская ЦРБ"</t>
  </si>
  <si>
    <t>ГККП "Ерейментауская ЦРБ"</t>
  </si>
  <si>
    <t>ГККП "Есильская ЦРБ"</t>
  </si>
  <si>
    <t>ГККП "Зерендинская ЦРБ"</t>
  </si>
  <si>
    <t>ГККП "Кокшетауская городская больница № 2 с поликлиникой"</t>
  </si>
  <si>
    <t>ГККП "Областной наркологический реабилитационный центр"</t>
  </si>
  <si>
    <t>ГККП "Атбасарский межрайонный противотуберкулезный диспансер"</t>
  </si>
  <si>
    <t>ГККП "Областной специализированный противотуберкулезный санаторий"</t>
  </si>
  <si>
    <t>ГККП "Степногорский межрайонный противотуберкулезный диспансер"</t>
  </si>
  <si>
    <t>ГККП "Мариновская межрайонная противотуберкулезная больница"</t>
  </si>
  <si>
    <t>ГККП "Бурабайская районная поликлиника"</t>
  </si>
  <si>
    <t>ГККП "Городская поликлиника"</t>
  </si>
  <si>
    <t>ГККП "Степногорская городская поликлиника</t>
  </si>
  <si>
    <t>ГКП на ПХВ "Акмолинская областная больница № 2"</t>
  </si>
  <si>
    <t>ГКП на ПХВ "Степногорская ЦГБ"</t>
  </si>
  <si>
    <t>ГКП на ПХВ "Акмолинская областная детская больница"</t>
  </si>
  <si>
    <t xml:space="preserve">туб </t>
  </si>
  <si>
    <t>ГКП на ПХВ "Бурабайская ММБ"</t>
  </si>
  <si>
    <t>ГККП "Степногорская городская поликлиника"</t>
  </si>
  <si>
    <t>ГККП «Специализированное лечебно-профилактическое предприятие»ГУ«Управление здравоохранения Актюбинской области»</t>
  </si>
  <si>
    <t>ГККП «Актюбинский областной противотуберкулезный диспансер»  ГУ «Управление здравоохранения Актюбинской области»</t>
  </si>
  <si>
    <t>ГККП "Противотуберкулезный санаторий "Бер-Чогур"" ГУ «Управление здравоохранения Актюбинской области»</t>
  </si>
  <si>
    <t>ГККП "Мугалжарская межрайонная туберкулезная больница" ГУ «Управление здравоохранения Актюбинской области»</t>
  </si>
  <si>
    <t>ГККП "Темирская туберкулезная туберкулезная больница" ГУ «Управление здравоохранения Актюбинской области»</t>
  </si>
  <si>
    <t>ГККП «Актюбинский областной детский костно-туберкулезный санаторий «Чайка» ГУ «Управления здравоохранения Актюбинской области»</t>
  </si>
  <si>
    <t>ГККП «Актюбинский областной психоневрологический диспансер»  ГУ «Управление здравоохранения Актюбинской области»</t>
  </si>
  <si>
    <t>ГККП «Областная клиническая инфекционная больница» ГУ «Управление здравоохранения Актюбинской области»</t>
  </si>
  <si>
    <t>ГКП "Мартукская центральная районная больница" на ПХВ ГУ «Управление здравоохранения Актюбинской области»</t>
  </si>
  <si>
    <t>ГККП "Актюбинский областной наркологический диспансер» ГУ «Управление здравоохранения Актюбинской области»</t>
  </si>
  <si>
    <t>ГКП  «Айтекебийская центральная районная больница» на ПХВ ГУ «Управление здравоохранения Актюбинской области»</t>
  </si>
  <si>
    <t>ГКП  «Алгинская центральная районная больница» на ПХВ ГУ «Управление здравоохранения Актюбинской области»</t>
  </si>
  <si>
    <t>ГКП  «Байганинская центральная районная больница» на ПХВ ГУ «Управление здравоохранения Актюбинской области»</t>
  </si>
  <si>
    <t>ГКП  «Иргизская центральная районная больница» на ПХВ ГУ «Управление здравоохранения Актюбинской области»</t>
  </si>
  <si>
    <t>ГКП «Каргалинская центральная районная больница» на ПХВ  ГУ «Управление здравоохранения Актюбинской области»</t>
  </si>
  <si>
    <t>ГКП «Мартукская центральная районная больница» на ПХВ  ГУ «Управление здравоохранения Актюбинской области»</t>
  </si>
  <si>
    <t>ГКП «Темирская центральная районная больница» на ПХВ  ГУ «Управление здравоохранения Актюбинской области»</t>
  </si>
  <si>
    <t>ГКП «Уилская центральная районная больница» на ПХВ  ГУ «Управление здравоохранения Актюбинской области»</t>
  </si>
  <si>
    <t>ГКП «Мугалжарская центральная районная больница» на ПХВ  ГУ «Управление здравоохранения Актюбинской области»</t>
  </si>
  <si>
    <t>ГКП «Эмбинская районная больница» на ПХВ  ГУ «Управление здравоохранения Актюбинской области»</t>
  </si>
  <si>
    <t>ГКП «Кобдинская центральная районная больница» на ПХВ  ГУ «Управление здравоохранения Актюбинской области»</t>
  </si>
  <si>
    <t>ГКП «Хромтауская центральная районная больница» на ПХВ  ГУ «Управление здравоохранения Актюбинской области»</t>
  </si>
  <si>
    <t>ГККП «Актюбинский областной противотуберкулезный диспансер» ГУ «Управление здравоохранения Актюбинской области»</t>
  </si>
  <si>
    <t>ГККП «Противотуберкулезный санаторий «Берчогур»ГУ «Управление здравоохранения Актюбинской области</t>
  </si>
  <si>
    <t>ГККП «Мугалжарская межрайонная туберкулезная больница»  ГУ «Управление здравоохранения Актюбинской области»</t>
  </si>
  <si>
    <t>ГККП «Темирская районная туберкулезная больница» ГУ «Управление здравоохранения Актюбинской области»</t>
  </si>
  <si>
    <t>ГККП «Актюбинский областной психоневрологический диспансер» ГУ «Управление здравоохранения Актюбинской области»</t>
  </si>
  <si>
    <t>ГКП «Шалкарская центральная районная больница» на ПХВ  ГУ «Управление здравоохранения Актюбинской области»</t>
  </si>
  <si>
    <t>ГКП на ПХВ "Аксуская ЦРБ"</t>
  </si>
  <si>
    <t>ГКП на ПХВ "Алакольская ЦРБ"</t>
  </si>
  <si>
    <t>ГКП на ПХВ "РБ с.Кабанбай"</t>
  </si>
  <si>
    <t>ГКП на ПХВ "Балхашская ЦРБ"</t>
  </si>
  <si>
    <t xml:space="preserve">ГКП на ПХВ "Енбекшиказахская ЦРБ" </t>
  </si>
  <si>
    <t>ГКП на ПХВ "РБ с.Шелек"</t>
  </si>
  <si>
    <t>ГКП на ПХВ "Жамбылская ЦРБ"</t>
  </si>
  <si>
    <t>ГКП на ПХВ "Каратальская ЦРБ"</t>
  </si>
  <si>
    <t xml:space="preserve">ГКП на ПХВ "Кербулакская ЦРБ" </t>
  </si>
  <si>
    <t>ГКП на ПХВ "Коксуская ЦРБ"</t>
  </si>
  <si>
    <t>ГКП на ПХВ "Панфиловская ЦРБ"</t>
  </si>
  <si>
    <t>ГКП на ПХВ "Райымбекская ЦРБ"</t>
  </si>
  <si>
    <t>ГКП на ПХВ "РБ с.Нарынкол"</t>
  </si>
  <si>
    <t>ГКП на ПХВ "Саркандская ЦРБ"</t>
  </si>
  <si>
    <t>ГКП на ПХВ "Уйгурская ЦРБ"</t>
  </si>
  <si>
    <t>ГКП на ПХВ "ГБ г.Капчагай"</t>
  </si>
  <si>
    <t>ГКП на ПХВ "ГБ г.Текели"</t>
  </si>
  <si>
    <t>ГКП на ПХВ "Областной наркологический диспансер"</t>
  </si>
  <si>
    <t>ГКП на ПХВ "Региональный наркологический диспансер"</t>
  </si>
  <si>
    <t>ГУ Талдыкорганский психоневрологический диспансер</t>
  </si>
  <si>
    <t>ГУ Талдыкорганская инфекционная больница</t>
  </si>
  <si>
    <t>ГУ Областной туберкулезный диспансер г.Талдыкорган</t>
  </si>
  <si>
    <t>ГУ Талдыкорг.детск.противотуберкулезный санаторий</t>
  </si>
  <si>
    <t>ГУ Жамбылская туберкулезная больница</t>
  </si>
  <si>
    <t>ГУ Илийская туберкулезная больница</t>
  </si>
  <si>
    <t>ины</t>
  </si>
  <si>
    <t>ГУ Каскеленская городская инфекционная больница</t>
  </si>
  <si>
    <t>ГУ Алматинский областной Центр психич.здоровья и нар</t>
  </si>
  <si>
    <t>ГУ Алматинский региональный туберкулезный диспансер</t>
  </si>
  <si>
    <t>ГУ Детский противотуберкулезный санаторий "Чимбулак"</t>
  </si>
  <si>
    <t>ГУ Туберкулезная больница с.Шелек</t>
  </si>
  <si>
    <t>ГУ Жаркентская туберкулезная больница</t>
  </si>
  <si>
    <t>ГУ Туберкулезная больница с.Кабанбай</t>
  </si>
  <si>
    <t>ГУ "Межрайонная противотуберкулезная больница" с.Баканас  Балхашского р-на</t>
  </si>
  <si>
    <t xml:space="preserve">ГКП на ПХВ "Райымбекская ЦРБ" </t>
  </si>
  <si>
    <t>ГКП на ПХВ "Енбекшиказахская ЦРБ"</t>
  </si>
  <si>
    <t>ГКП на ПХВ "Кербулакская ЦРБ"</t>
  </si>
  <si>
    <t>ГКП на ПХВ "Капшагайская ГБ"</t>
  </si>
  <si>
    <t>ГКП на ПХВ "Текелийская ГБ"</t>
  </si>
  <si>
    <t xml:space="preserve">КГКП "Жылыойский районный противотуберкулезный диспансер"  </t>
  </si>
  <si>
    <t xml:space="preserve">КГП на ПХВ "Атырауская областная инфекционная больница"  </t>
  </si>
  <si>
    <t xml:space="preserve">КГП на ПХВ "Атырауский областной наркологический диспансер" </t>
  </si>
  <si>
    <t xml:space="preserve">КГП "Атырауская городская поликлиника №1"  </t>
  </si>
  <si>
    <t xml:space="preserve">КГП "Атырауская городская поликлиника №2"  </t>
  </si>
  <si>
    <t xml:space="preserve">КГП на ПХВ "Атырауская городская поликлиника №3"  </t>
  </si>
  <si>
    <t xml:space="preserve">КГП на ПХВ "Атырауская городская поликлиника №4"  </t>
  </si>
  <si>
    <t xml:space="preserve">КГП на ПХВ "Атырауская городская поликлиника №5"  </t>
  </si>
  <si>
    <t xml:space="preserve">КГП на ПХВ"Атырауская городская поликлиника №7 "   </t>
  </si>
  <si>
    <t xml:space="preserve">КГП на ПХВ "Геологская поликлиника"  </t>
  </si>
  <si>
    <t xml:space="preserve">КГКП "Детская противотуберкулезная больница города Семей" </t>
  </si>
  <si>
    <t xml:space="preserve">КГП на ПХВ "Областной наркологический диспансер" </t>
  </si>
  <si>
    <t xml:space="preserve">КГП на ПХВ "Восточно-Казахстанская областная психиатриатрическая диспансер " </t>
  </si>
  <si>
    <t xml:space="preserve">КГП на ПХВ "Восточно-Казахстанская областная психиатрическая больница села Ново-Канайка" </t>
  </si>
  <si>
    <t xml:space="preserve">КГП на ПХВ Психиатрическая больница п.Шульбинск </t>
  </si>
  <si>
    <t xml:space="preserve">КГП на ПХВ  Восточно-Казахстанский областной противотуберкулезный диспансер </t>
  </si>
  <si>
    <t xml:space="preserve">КГП на ПХВ "Региональный противотуберкулезный диспансер города Семей" </t>
  </si>
  <si>
    <t xml:space="preserve">КГП на ПХВ "Детская противотуберкулезная больница города Семей" </t>
  </si>
  <si>
    <t>КГП на ПХВ "Восточно - Казахстанский областной детский противотуберкулезный санаторий "Сосна"</t>
  </si>
  <si>
    <t>КГКП "Центральная районная больница Зайсанского района"  УЗ ВКО акимата</t>
  </si>
  <si>
    <t>КГКП "Центральная районная больница Кокпектинского района"  УЗ ВКО акимата</t>
  </si>
  <si>
    <t>КГКП "Межрайонная больница Кокпектинского района"  УЗ ВКО акимата</t>
  </si>
  <si>
    <t>КГКП "Центральная районная больница Тарбагатайского района"  УЗ ВКО акимата</t>
  </si>
  <si>
    <t>КГКП "Межрайонная больница Тарбагатайского района"  УЗ ВКО акимата</t>
  </si>
  <si>
    <t>КГП на ПХВ "Аягозская центральная районная больница" УЗ ВКО акимата</t>
  </si>
  <si>
    <t>КГП на ПХВ "Центральная районная больница Урджарского района"  УЗ ВКО акимата</t>
  </si>
  <si>
    <t>КГП на ПХВ "Межрайонная больница Урджарского района" УЗ ВКО акимата</t>
  </si>
  <si>
    <t>ГККП "Противотуберкулезный диспансер города Астаны"</t>
  </si>
  <si>
    <t>ГККП "Медицинский центр проблем психического здоровья"</t>
  </si>
  <si>
    <t>ГККП "Городская инфекционная больница"</t>
  </si>
  <si>
    <t>ГККП "Городская детская инфекционная больница"</t>
  </si>
  <si>
    <t>ГКП на ПХВ "Центр медико-социальной реабилитации"</t>
  </si>
  <si>
    <t>ГКП на ПХВ "Медицинский центр психического здоровья"</t>
  </si>
  <si>
    <t>ТОО "Алимед"</t>
  </si>
  <si>
    <t>Городская поликлиника №1</t>
  </si>
  <si>
    <t>Городская поликлиника №2</t>
  </si>
  <si>
    <t>Городская поликлиника №3</t>
  </si>
  <si>
    <t>Городская поликлиника №4</t>
  </si>
  <si>
    <t>Городская поликлиника №5</t>
  </si>
  <si>
    <t>Городская поликлиника №6</t>
  </si>
  <si>
    <t>ТОО "Медицинский центр"</t>
  </si>
  <si>
    <t>КГУ "Аулиекольская районная  противотуберкулезная больница"  Управления  здравоохранения акимата Костанайской области</t>
  </si>
  <si>
    <t>ГУ "Аркалыкский городской психоневрологический диспансер"  Управления  здравоохранения акимата Костанайской области</t>
  </si>
  <si>
    <t>КГП "Костанайская областная больница"</t>
  </si>
  <si>
    <t>ГУ "Управление здравоохранения акимата Костанайской области"</t>
  </si>
  <si>
    <t>Коммунальное государственное  предприятие  "Областной наркологический диспансер " управления здравоохранения Карагандинской области</t>
  </si>
  <si>
    <t>КГП «Областной противотуберкулезный диспансер» управления здравоохранения Карагандинской области</t>
  </si>
  <si>
    <t>КГП «Областной психоневрологический диспансер»  управления здравоохранения Карагандинской области</t>
  </si>
  <si>
    <t>КГКП "Областная инфекционная больница" управления  здравоохранения Карагандинской области</t>
  </si>
  <si>
    <t>КГП "Центральная больница  города Темиртау" управления здравоохранения Карагандинской области</t>
  </si>
  <si>
    <t>КГП "Центральная  больница №1 г. Сатпаев" управления здравоохранения Карагандинской области</t>
  </si>
  <si>
    <t>КГП "Центральная  больница города Жезказган" управления здравоохранения Карагандинской области</t>
  </si>
  <si>
    <t>КГП "Центральная больница г Каражал " управления здравоохранения Карагандинской области</t>
  </si>
  <si>
    <t>КГП "Центральная  больница г. Балхаш" управления здравоохранения Карагандинской области</t>
  </si>
  <si>
    <t>КГП" Центральная районная больница Абайского района"  управления здравоохранения Карагандинской области</t>
  </si>
  <si>
    <t>КГКП «Областной детский психоневрологический диспансер» управления здравоохранения Карагандинской области</t>
  </si>
  <si>
    <t>КГКП "Областная наркологическая организация  для принудительного лечения"  управления здравоохранения Карагандинской области</t>
  </si>
  <si>
    <t>КГУ "Реабилитационный центр "УМИТ" управления здравоохранения Карагандинской области"</t>
  </si>
  <si>
    <t>КГУ "Областной детский противотуберкулезный санаторий" управления здравоохранения Карагандинской области</t>
  </si>
  <si>
    <t>КГУ Областной противотуберкулезный санаторий "Шипагер"  Абайского района села Жартас" управления здравоохранения Карагандинской области</t>
  </si>
  <si>
    <t>КГП  "Областной наркологический диспансер " управления здравоохранения Карагандинской области</t>
  </si>
  <si>
    <t>КГП "Центральная районная больница Абайского района"  управления здравоохранения Карагандинской области</t>
  </si>
  <si>
    <t>КГП "Областная наркологическая организация  для принудительного лечения"  управления здравоохранения Карагандинской области</t>
  </si>
  <si>
    <t>КГП "Центральная районная больница Нуринского района"  управления здравоохранения Карагандинской области</t>
  </si>
  <si>
    <t>КГП "Центральная районная больница Осакаровского района" управления здравоохранения Карагандинской области</t>
  </si>
  <si>
    <t>КГП "Центральная районная больница  Каркаралинского района" управления здравоохранения Карагандинской области</t>
  </si>
  <si>
    <t>КГП  "Центральная районная больница Жанааркинского района" управления здравоохранения Карагандинской области</t>
  </si>
  <si>
    <t>КГП "Центральная районная больница Шетского района" управления здравоохранения Карагандинской области</t>
  </si>
  <si>
    <t>КГП "Центральная  больница г Шахтинск" акимата Карагандинской области  управления  здравоохранения Карагандинской области</t>
  </si>
  <si>
    <t>ГКУ «Кызылординский областной противотуберкулезный диспансер»</t>
  </si>
  <si>
    <t xml:space="preserve">ГКУ «Кызылординский областной противотуберкулезный санаторий для детей и подростков» </t>
  </si>
  <si>
    <t>ГКУ «Областной противотуберкулезный санаторий для взрослых»</t>
  </si>
  <si>
    <t xml:space="preserve"> ГУ«Кызылординская областная психоневрологическая больница» </t>
  </si>
  <si>
    <t>ГКУ «Кызылординская городская противотуберкулезный диспансер»</t>
  </si>
  <si>
    <t>ГКУ «Аральский районный противотуберкулезный диспансер»</t>
  </si>
  <si>
    <t>ГКУ «Казалинский районный противотуберкулезный диспансер»</t>
  </si>
  <si>
    <t>ГКУ «Кармакшинский районный противотуберкулезный диспансер»</t>
  </si>
  <si>
    <t>ГКУ «Жалагашский районный противотуберкулезный диспансер»</t>
  </si>
  <si>
    <t>ГКУ «Сырдарьинский районный противотуберкулезный диспансер»</t>
  </si>
  <si>
    <t>ГКУ «Шиелийский районный противотуберкулезный диспансер»</t>
  </si>
  <si>
    <t>ГКУ «Жанакорганский районный противотуберкулезный диспансер»</t>
  </si>
  <si>
    <t>ГКП "Областная инфекционная больница"</t>
  </si>
  <si>
    <t xml:space="preserve"> ГКП«Аральская центральная районная больница с амбулаторной-поликлинической услугой» отделение инфекционных заболевании</t>
  </si>
  <si>
    <t>ГКП«Казалинская центральная районная больница с амбулаторной-поликлинической услугой» отделение инфекционных заболевании</t>
  </si>
  <si>
    <t>ГКП «Кармакшинская центральная районная больница с амбулаторной-поликлинической услугой» отделение инфекционных заболевании</t>
  </si>
  <si>
    <t>ГКП «Жалагашская центральная районная больница с амбулаторной-поликлинической услугой» отделение инфекционных заболевании</t>
  </si>
  <si>
    <t>ГКП «Сырдарьинская центральная районная больница с амбулаторной-поликлинической услугой» отделение инфекционных заболевании</t>
  </si>
  <si>
    <t>ГКП «Шиелийская центральная районная больница с амбулаторной-поликлинической услугой» отделение инфекционных заболевании</t>
  </si>
  <si>
    <t>ГКП «Жанакорганская центральная районная больница с амбулаторной-поликлинической услугой» отделение инфекционных заболевании</t>
  </si>
  <si>
    <t>ГКП на ПХВ «Областной наркологический центр</t>
  </si>
  <si>
    <t xml:space="preserve">ГКП «Кызылординский областной центр по профилактике и борьбе со СПИДом» </t>
  </si>
  <si>
    <t>ГУ "Областное управление здравоохранение"</t>
  </si>
  <si>
    <t>ГКУ "Кызылординский областной противотуберкулезный диспансер"</t>
  </si>
  <si>
    <t>ГКУ "Кызылординский областной противотуберкулезный санаторий для детей и подросков"</t>
  </si>
  <si>
    <t>ГКУ "Областной противотуберкулезный санаторий для взрослых"</t>
  </si>
  <si>
    <t>ГУ "Кызылординская областная психоневрологическая больница"</t>
  </si>
  <si>
    <t>ГКУ " Кызылординская городская противотуберкулезный диспансер"</t>
  </si>
  <si>
    <t>ГКУ "Аральский районный противотуберкулезный диспансер"</t>
  </si>
  <si>
    <t>ГКУ "Казалинский районный противотуберкулезный диспансер"</t>
  </si>
  <si>
    <t>ГКУ "Кармакшинский районный противотуберкулезный диспансер"</t>
  </si>
  <si>
    <t>ГКУ "Жалагашский районный противотуберкулезный диспансер"</t>
  </si>
  <si>
    <t>ГКУ "Сырдарьинский районный противотуберкулезный диспансер"</t>
  </si>
  <si>
    <t>ГКУ "Шилейский районный противотуберкулезный диспансер"</t>
  </si>
  <si>
    <t>ГКУ "Жанакорганский районный противотуберкулезный диспансер"</t>
  </si>
  <si>
    <t>ГКП "Аральская центральная районная больница с амбулаторной-поликлинической услугой" отделение инфекционных заболеваний</t>
  </si>
  <si>
    <t>ГКП "Казалинская центральная районная больница с амбулаторной-поликлинической услугой" отделение инфекционных заболеваний</t>
  </si>
  <si>
    <t>ГКП "Кармакшинская центральная районная больница с амбулаторной-поликлинической услугой" отделение инфекционных заболеваний</t>
  </si>
  <si>
    <t>ГКП "Жалагашская центральная районная больница с амбулаторной-поликлинической услугой" отделение инфекционных заболеваний</t>
  </si>
  <si>
    <t>ГКП "Сырдарьинская центральная районная больница с амбулаторной-поликлинической услугой" отделение инфекционных заболеваний</t>
  </si>
  <si>
    <t>ГКП "Шиелийская центральная районная больница с амбулаторной-поликлинической услугой" отделение инфекционных заболеваний</t>
  </si>
  <si>
    <t>ГКП "Жанакорганская центральная районная больница с амбулаторной-поликлинической услугой" отделение инфекционных заболеваний</t>
  </si>
  <si>
    <t>ГКП на ПХВ "Областной наркологический центр"</t>
  </si>
  <si>
    <t>ГКП "Кызылординский областной центр по профилактике и борьбе со СПИДом"</t>
  </si>
  <si>
    <t>ГУ "Областное управление здравоохранения"</t>
  </si>
  <si>
    <t>Байконур</t>
  </si>
  <si>
    <t>ГККП «Мангистауский областной противотуберкулезный диспансер»</t>
  </si>
  <si>
    <t>ГККП «Мангистауский областной психоневрологический диспансер»</t>
  </si>
  <si>
    <t>ГККП "Мангистауской областной противотуб.санатория им.Е.Оразакова"</t>
  </si>
  <si>
    <t>ГККП "Актауская городская поликлиника №1"</t>
  </si>
  <si>
    <t>ГКП на ПХВ "Актауская городская поликлиника №2"</t>
  </si>
  <si>
    <t>ГККП "Жанаозенская межрайонная туберкулезная больница"</t>
  </si>
  <si>
    <t>ГККП "Жанаозенская городская поликлиника №2"</t>
  </si>
  <si>
    <t>ГКП на ПХВ "Жанаозенская городская поликлиника №1"</t>
  </si>
  <si>
    <t>ГКП на ПХВ "Бейнеуская районная поликлиника"</t>
  </si>
  <si>
    <t>ГКП на ПХВ "Бейнеуская центральная районная больница"</t>
  </si>
  <si>
    <t>ГКП на ПХВ "Жетыбайская сельская больница"</t>
  </si>
  <si>
    <t>ГКП на ПХВ "Каракиянская центральная районная больница"</t>
  </si>
  <si>
    <t>ГКП  на ПХВ "Тупкараганская центральная районная больница"</t>
  </si>
  <si>
    <t>ГККП "Тупкараганская туберкулезная больница"</t>
  </si>
  <si>
    <t>ГКП на ПХВ "Мангистауский областной центр СПИД"</t>
  </si>
  <si>
    <t>Павлодарский район</t>
  </si>
  <si>
    <t>Щербактинский район</t>
  </si>
  <si>
    <t>Успенский  район</t>
  </si>
  <si>
    <t>11</t>
  </si>
  <si>
    <t>ГККП Байдибекский ЦРБ ( инф отд)</t>
  </si>
  <si>
    <t>ГККП Отрарский ЦРБ ( инф отд)</t>
  </si>
  <si>
    <t>ГККП Казыгуртский ЦРБ  (инф отд)</t>
  </si>
  <si>
    <t>ГККП Толебийская районная больница (инф)</t>
  </si>
  <si>
    <t>ГККП Ленгерская городская больница (инф)</t>
  </si>
  <si>
    <t>ГККП  Мактааральская центральная районная больница (инф )</t>
  </si>
  <si>
    <t>ГККП Мактааральская районная больница Мырзакент (инф)</t>
  </si>
  <si>
    <t>ГККП Сайрамская центральная районная больница (инф)</t>
  </si>
  <si>
    <t>ГККП Сайрамская районная больница Карабулак (инф)</t>
  </si>
  <si>
    <t>ГККП Шымкентская городская больница №1 инф отд</t>
  </si>
  <si>
    <t>ГККП Сарыагашская центральная районная больница (инф)</t>
  </si>
  <si>
    <t>ГККП Сарыагашская районная больница Абай (инф)</t>
  </si>
  <si>
    <t>ГККП Сузакский ЦРБ (инф отд)</t>
  </si>
  <si>
    <t>ГККП Тюлькубасский ЦРБ ( инф отд)</t>
  </si>
  <si>
    <t>ГККП Шардаринский ЦРБ (инф отд)</t>
  </si>
  <si>
    <t>ГККП  Арысь  городская больницйа (инф отд)</t>
  </si>
  <si>
    <t>ГККП  Кентау городская больница (инф)</t>
  </si>
  <si>
    <t>ГККП  Туркестан городская больница (инф отд)</t>
  </si>
  <si>
    <t>ГККП Ордабасинский ЦРБ ( инф отд)</t>
  </si>
  <si>
    <t>ГККП Мактааральская районная больница Асык ата (инф)</t>
  </si>
  <si>
    <t>КГП на ПХВ "1-ая городская больница"</t>
  </si>
  <si>
    <t>КГП на ПХВ 3-ая городская больница</t>
  </si>
  <si>
    <t>КГП на ПХВ "Областной психоневрологический диспансер"</t>
  </si>
  <si>
    <t>КГКП "Областной противотуберкулезный диспасер"</t>
  </si>
  <si>
    <t xml:space="preserve">нарко </t>
  </si>
  <si>
    <t xml:space="preserve">КГП на ПХВ "Областной наркологический центр" </t>
  </si>
  <si>
    <t>КГП на ПХВ "Айыртауская ЦРБ"</t>
  </si>
  <si>
    <t xml:space="preserve">КГП на ПХВ "Акжарская ЦРБ" </t>
  </si>
  <si>
    <t>КГП на ПХВ "Жамбылская ЦРБ"</t>
  </si>
  <si>
    <t>КГП на ПХВ "ЦРБ р-на М.Жумабаева"</t>
  </si>
  <si>
    <t>КГП на ПХВ "ЦРБ р-на Г.Мусрепова"</t>
  </si>
  <si>
    <t>КГП на ПХВ "ЦРБ р-на Шал-Акына"</t>
  </si>
  <si>
    <t>КГКП "Противотуберкулезный диспансер р-на М.Жумабаева"</t>
  </si>
  <si>
    <t>КГКП "Противотуберкулезный диспансер р-на Г.Мусрепова"</t>
  </si>
  <si>
    <t>НМУ"Детский санаторий Солнечный"</t>
  </si>
  <si>
    <t>15</t>
  </si>
  <si>
    <t>ГУ "Спид-центр"</t>
  </si>
  <si>
    <t>Алматы</t>
  </si>
  <si>
    <t xml:space="preserve">ТОО СК Фармация  </t>
  </si>
  <si>
    <t>ГККП «Детский противотуберкулезный санаторий №1»</t>
  </si>
  <si>
    <t>ГКП на  ПХВ «Центр по профилактике и борьбе со СПИД»</t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</si>
  <si>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поведения, в т.ч. связанными с употреблением психоактивных веществ (гос.заказ (нарко,кожвен))</t>
  </si>
  <si>
    <t>ГКП на ПХВ «Городской  наркологический центр – медико социальной коррекции»</t>
  </si>
  <si>
    <t>ГКП на ПХВ «Кожно-венерологический диспансер»</t>
  </si>
  <si>
    <t>ГККП «Городской противотуберкулезный диспансер Ауэзовского района»</t>
  </si>
  <si>
    <t>ГККП  Городской противотуберкулезный диспансер Медеуского района</t>
  </si>
  <si>
    <t>ГККП Межрайонный противотуберкулезный диспансер</t>
  </si>
  <si>
    <t xml:space="preserve">ГККП «Городской противотуберкулезный диспансер Турксибского района» </t>
  </si>
  <si>
    <t>ГККП Противотуберкулезный санаторий «Каменское плато»</t>
  </si>
  <si>
    <t>ГККП  Детская  городская клиническая инфекционая больница</t>
  </si>
  <si>
    <t>ГККП «Городская клиническая инфекционная больница имени И.Жекеновой»</t>
  </si>
  <si>
    <t>ГККП «Центр психического здоровья»</t>
  </si>
  <si>
    <t>ГКП на  ПХВ «ГП №5»</t>
  </si>
  <si>
    <t xml:space="preserve">Исполнение оплаченных обязательств по бюджетным программам (подпрограммам) </t>
  </si>
  <si>
    <t>II. ЗАТРАТЫ</t>
  </si>
  <si>
    <t>043</t>
  </si>
  <si>
    <t>138</t>
  </si>
  <si>
    <t>Обеспечение повышения квалификации государственных служащих</t>
  </si>
  <si>
    <t>Услуги по подготовке специалистов с высшим, послевузовским образованием и оказание социальной поддержки обучающимся</t>
  </si>
  <si>
    <t>Капитальные расходы организаций образования системы здравоохранения за счет целевого трансферта из Национального фонда Республики Казахстан</t>
  </si>
  <si>
    <t>034</t>
  </si>
  <si>
    <t>155</t>
  </si>
  <si>
    <t>Реализация мероприятий технической помощи в рамках содействия устойчивому развитию и росту Республики Казахстан</t>
  </si>
  <si>
    <t>За счет софинансирования гранта из средств целевого трансферта из Национального фонда Республики Казахстан</t>
  </si>
  <si>
    <t>Возмещение лизинговых платежей по медицинской технике, приобретенной на условиях финансового лизинга</t>
  </si>
  <si>
    <t>088</t>
  </si>
  <si>
    <t>Реализация мероприятий в области санитарно-эпидемиологического благополучия населения</t>
  </si>
  <si>
    <t>Обеспечение деятельности медицинских организаций Управления Делами Президента Республики Казахстан</t>
  </si>
  <si>
    <t>Оказание медицинской помощи отдельным категориям  граждан</t>
  </si>
  <si>
    <t>Капитальные расходы медицинских организаций Управления Делами Президента Республики Казахстан</t>
  </si>
  <si>
    <t>Обеспечение лекарственными средствами больных с хронической почечной недостаточностью, аутоиммунными, орфанными заболеваниями, иммунодефицитными состояниями, а также больных после трансплантации органов</t>
  </si>
  <si>
    <t>040</t>
  </si>
  <si>
    <t>Обеспечение функционирования информационных систем в области здравоохранения</t>
  </si>
  <si>
    <t>За счет трансфертов из республиканского бюджета*</t>
  </si>
  <si>
    <t>За счет средств местного бюджета*</t>
  </si>
  <si>
    <t>Услуги по лечению военнослужащих, сотрудников правоохранительных органов и членов их семей и оказанию медицинской помощи пострадавшим от чрезвычайных ситуаций</t>
  </si>
  <si>
    <t>Повышение потенциала и внедрение высокотехнологичных методов диагностики и лечения заболеваний</t>
  </si>
  <si>
    <t>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проектов государственно-частного партнерства, концессионных проектов, консультативное сопровождение проектов государственно-частного партнерства и концессионных проектов</t>
  </si>
  <si>
    <t>119</t>
  </si>
  <si>
    <t>Проведение мероприятий за счет специального резерва Правительства Республики Казахстан</t>
  </si>
  <si>
    <t>032</t>
  </si>
  <si>
    <t>За счет целевого трансферта из Национального фонда Республики Казахстан</t>
  </si>
  <si>
    <t>Социальное обеспечение отдельных категорий граждан и их сопровождение по выплатам</t>
  </si>
  <si>
    <t>Выплаты солидарных пенсий</t>
  </si>
  <si>
    <t>Государственные базовые пенсионные выплаты</t>
  </si>
  <si>
    <t>Выплата обязательств по государственной гарантии сохранности обязательных пенсионных взносов и обязательных профессиональных пенсионных взносов в едином накопительном пенсионном фонде</t>
  </si>
  <si>
    <t>Государственное базовое пособие по инвалидности</t>
  </si>
  <si>
    <t>Государственное базовое пособие по случаю потери кормильца</t>
  </si>
  <si>
    <t>Государственное базовое пособие по  возрасту</t>
  </si>
  <si>
    <t>Пособие на погребение</t>
  </si>
  <si>
    <t>Государственные специальные пособия</t>
  </si>
  <si>
    <t>Субсидирование обязательных пенсионных взносов получателям социальных выплат в случае потери дохода в связи с уходом за ребенком по достижении им возраста одного года</t>
  </si>
  <si>
    <t>Возмещение за вред, причиненный жизни и здоровью, возложенное судом на государство в случае прекращения деятельности юридического лица</t>
  </si>
  <si>
    <t>114</t>
  </si>
  <si>
    <t>Специальные государственные пособия инвалидам ВОВ</t>
  </si>
  <si>
    <t>Специальные государственные пособия участникам ВОВ</t>
  </si>
  <si>
    <t>116</t>
  </si>
  <si>
    <t>Специальные государственные пособия лицам, приравненным к инвалидам ВОВ</t>
  </si>
  <si>
    <t>117</t>
  </si>
  <si>
    <t>Специальные государственные пособия лицам, приравненным к участникам ВОВ</t>
  </si>
  <si>
    <t>118</t>
  </si>
  <si>
    <t>Специальные государственные пособия вдовам воинов, погибших в ВОВ</t>
  </si>
  <si>
    <t>Специальные государственные пособия женам (мужьям) умерших инвалидов ВОВ</t>
  </si>
  <si>
    <t>120</t>
  </si>
  <si>
    <t>Специальные государственные пособия Героям Советского Союза, Героям Социалистического труда, кавалерам орденов Славы трех степеней, Трудовой Славы трех степеней</t>
  </si>
  <si>
    <t>121</t>
  </si>
  <si>
    <t>Специальные государственные пособия семьям погибших (умерших, пропавших без вести) военнослужащих, сотрудников органов внутренних дел и лиц, погибших при ликвидации последствий катастрофы на ЧАЭС</t>
  </si>
  <si>
    <t>122</t>
  </si>
  <si>
    <t>Специальные государственные пособия труженикам тыла в годы Великой Отечественной войны</t>
  </si>
  <si>
    <t>Специальные государственные пособия участникам ликвидации последствий катастрофы на ЧАЭС, эвакуированных из зон отчуждения и отселения в Республику Казахстан, включая детей, которые на день эвакуации находились во внутриутробном состоянии</t>
  </si>
  <si>
    <t>124</t>
  </si>
  <si>
    <t>Специальные государственные пособия инвалидам I и II групп</t>
  </si>
  <si>
    <t>125</t>
  </si>
  <si>
    <t>Специальные государственные пособия инвалидам III группы</t>
  </si>
  <si>
    <t>126</t>
  </si>
  <si>
    <t>Специальные государственные пособия детям-инвалидам до 16 лет</t>
  </si>
  <si>
    <t>Специальные государственные пособия многодетным матерям, награжденные подвесками «Алтын алка», «Кумис алка» или получившие ранее звание «Мать-героиня» и награжденные орденом  «Материнская слава»</t>
  </si>
  <si>
    <t>128</t>
  </si>
  <si>
    <t>Специальные государственные пособия многодетным семьям, имеющие четырех и более совместно проживающих несовершеннолетних детей</t>
  </si>
  <si>
    <t>Специальные государственные пособия жертвам политических репрессий, имеющие инвалидность или являющиеся пенсионерами</t>
  </si>
  <si>
    <t>130</t>
  </si>
  <si>
    <t>Специальные государственные пособия лицам, которым назначены пенсии за особые заслуги перед Республикой Казахстан</t>
  </si>
  <si>
    <t>131</t>
  </si>
  <si>
    <t>Единовременные государственные денежные компенсации, гражданам, пострадавшим вследствие ядерных испытаний на Семипалатинском испытательном ядерном полигоне</t>
  </si>
  <si>
    <t>132</t>
  </si>
  <si>
    <t>Единовременная денежная компенсация реабилитированным гражданам - жертвам массовых политических репрессий</t>
  </si>
  <si>
    <t>133</t>
  </si>
  <si>
    <t>Единовременные государственные пособия в связи с рождением ребенка</t>
  </si>
  <si>
    <t>134</t>
  </si>
  <si>
    <t>Государственные пособия по уходу за ребенком до одного года</t>
  </si>
  <si>
    <t>135</t>
  </si>
  <si>
    <t>Государственные пособия родителям, опекунам, воспитывающим детей- инвалидов</t>
  </si>
  <si>
    <t>139</t>
  </si>
  <si>
    <t>Услуги по обеспечению выплаты пенсий и пособий</t>
  </si>
  <si>
    <t>Предоставление специальных социальных услуг для престарелых и инвалидов в медико-социальных учреждениях (организациях) общего типа, в центрах оказания специальных социальных услуг, в центрах социального обслуживания</t>
  </si>
  <si>
    <t>Предоставление специальных социальных услуг для детей-инвалидов в государственных медико-социальных учреждениях (организациях) для детей с нарушениями функций опорно-двигательного аппарата, в центрах оказания специальных социальных услуг, в центрах социального обслуживания</t>
  </si>
  <si>
    <t>Предоставление специальных социальных услуг для инвалидов с психоневрологическими заболеваниями, в психоневрологических медико-социальных учреждениях (организациях), в центрах оказания специальных социальных услуг, в центрах социального обслуживания</t>
  </si>
  <si>
    <t>Предоставление специальных социальных услуг для детей-инвалидов с психоневрологическими патологиями в детских психоневрологических медико-социальных учреждениях (организациях), в центрах оказания специальных социальных услуг, в центрах социального обслуживания</t>
  </si>
  <si>
    <t>048</t>
  </si>
  <si>
    <t>031</t>
  </si>
  <si>
    <t>Государственная поддержка по содержанию детей-сирот и детей, оставшихся без попечения родителей, в детских домах семейного типа</t>
  </si>
  <si>
    <t>348</t>
  </si>
  <si>
    <t>Управление пассажирского транспорта и автомобильных дорог города республиканского значения, столицы</t>
  </si>
  <si>
    <t>Социальная поддержка отдельных категорий граждан в виде льготного, бесплатного проезда на городском общественном транспорте (кроме такси) по решению местных представительных органов</t>
  </si>
  <si>
    <t>Прикладные научные исследования в области охраны труда</t>
  </si>
  <si>
    <t>Реализация мероприятий в рамках Дорожной карты занятости 2020</t>
  </si>
  <si>
    <t>Совершенствование системы социальной защиты населения в соответствии c приоритетами социальной модернизации</t>
  </si>
  <si>
    <t>За счет софинансирования гранта из республиканского бюджета</t>
  </si>
  <si>
    <t>За счет гранта</t>
  </si>
  <si>
    <t>056</t>
  </si>
  <si>
    <t>Оказание услуг по информационно-аналитическому обеспечению по базе занятости и бедности, модернизация политики занятости</t>
  </si>
  <si>
    <t>Услуги по информационно-аналитическому обеспечению по базе занятости и бедности</t>
  </si>
  <si>
    <t>058</t>
  </si>
  <si>
    <t>Оказание социальной защиты и помощи населению на республиканском уровне, а также совершенствование системы социальной защиты и развитие инфраструктуры</t>
  </si>
  <si>
    <t>Методологическое обеспечение по оказанию инвалидам протезно-ортопедической помощи, в том числе предоставление протезно-ортопедической помощи</t>
  </si>
  <si>
    <t>Слухоречевая адаптация детей с нарушением слуха после кохлеарной имплантации</t>
  </si>
  <si>
    <t>Проведение текущих мероприятий в рамках Дорожной карты занятости 2020</t>
  </si>
  <si>
    <t>153</t>
  </si>
  <si>
    <t>Реализация программных проектов в рамках содействия устойчивому развитию и росту Республики Казахстан</t>
  </si>
  <si>
    <t>За счет софинансирования внешних займов из средств целевого трансферта из Национального фонда Республики Казахстан</t>
  </si>
  <si>
    <t>Реализация Плана мероприятий по обеспечению прав и улучшению качества жизни инвалидов в Республике Казахстан на 2012 – 2018 годы</t>
  </si>
  <si>
    <t>*Показатель RNAME не найден</t>
  </si>
  <si>
    <t>054</t>
  </si>
  <si>
    <t xml:space="preserve">разница 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</si>
  <si>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</si>
  <si>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млн.тенге</t>
  </si>
  <si>
    <t xml:space="preserve">Всего,  в том числе </t>
  </si>
  <si>
    <t>Торговля продовольственными товарами, из них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</si>
  <si>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</si>
  <si>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</si>
  <si>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</si>
  <si>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</si>
  <si>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>Рыба, ракообразные и моллюски</t>
  </si>
  <si>
    <t>Молочные продукты и яйца</t>
  </si>
  <si>
    <t xml:space="preserve">Фрукты и овощи свежие </t>
  </si>
  <si>
    <t xml:space="preserve">     из них картофель свежий</t>
  </si>
  <si>
    <t>Сахар</t>
  </si>
  <si>
    <t>Шоколад, изделия кондитерские из шоколада и  сахара</t>
  </si>
  <si>
    <t>Изделия хлебобулочные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</si>
  <si>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</si>
  <si>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</si>
  <si>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</si>
  <si>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</si>
  <si>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 xml:space="preserve">     из них шампанское</t>
  </si>
  <si>
    <t>пиво</t>
  </si>
  <si>
    <t>безалкогольные напитки</t>
  </si>
  <si>
    <t>Табачные изделия</t>
  </si>
  <si>
    <t>Торговля непродовольственными товарами, из них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</si>
  <si>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</si>
  <si>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</si>
  <si>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</si>
  <si>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</si>
  <si>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Обувь</t>
  </si>
  <si>
    <t>Изделия из кожи и дорожные принадлежности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</si>
  <si>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</si>
  <si>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</si>
  <si>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</si>
  <si>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</si>
  <si>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</si>
  <si>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 видео  записи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</si>
  <si>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</si>
  <si>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</si>
  <si>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</si>
  <si>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</si>
  <si>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</si>
  <si>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</si>
  <si>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</si>
  <si>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</si>
  <si>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</si>
  <si>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</si>
  <si>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</si>
  <si>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</si>
  <si>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</si>
  <si>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</si>
  <si>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</si>
  <si>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Обои и покрытия напольные</t>
  </si>
  <si>
    <t xml:space="preserve"> -</t>
  </si>
  <si>
    <t>Чистящие средства</t>
  </si>
  <si>
    <t>Обои и покрытия напольные,  ковры и изделия ковровые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</si>
  <si>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</si>
  <si>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</si>
  <si>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Новые пассажирские автомобили легковые</t>
  </si>
  <si>
    <t>Подержанные пассажирские автомобили</t>
  </si>
  <si>
    <t>Шины</t>
  </si>
  <si>
    <t>Прочие детали и принадлежности для автомобилей</t>
  </si>
  <si>
    <t>* до 2009 года данные пересчитаны по отдельным товарным позициям в соответствии с версией СНТВУТ 2009 года.</t>
  </si>
  <si>
    <t>FS.6.1</t>
  </si>
  <si>
    <t>Прочие поступления от домохозяйств</t>
  </si>
  <si>
    <t>Население РК за 2015, чел.</t>
  </si>
  <si>
    <t>На 1 душу населения</t>
  </si>
  <si>
    <t>На все население</t>
  </si>
  <si>
    <t>Больницы</t>
  </si>
  <si>
    <t>ОВП</t>
  </si>
  <si>
    <t>СВП</t>
  </si>
  <si>
    <t>Стоматология</t>
  </si>
  <si>
    <t>Прочие</t>
  </si>
  <si>
    <t>б</t>
  </si>
  <si>
    <t>н</t>
  </si>
  <si>
    <t>п</t>
  </si>
  <si>
    <t>В разрезе поставщиков: население</t>
  </si>
  <si>
    <t>Больницами</t>
  </si>
  <si>
    <t>Частные расходы домохозяйств за исключением сооплаты</t>
  </si>
  <si>
    <t>население</t>
  </si>
  <si>
    <t>предприятие</t>
  </si>
  <si>
    <t xml:space="preserve">
Объем оказанных услуг в области здравоохранения и предоставления социальных услуг в РК</t>
  </si>
  <si>
    <t xml:space="preserve">бюджет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</si>
</sst>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###\ ###\ ###\ ###\ ##0"/>
    <numFmt numFmtId="169" formatCode="#,##0.0000000"/>
    <numFmt numFmtId="170" formatCode="_-* #,##0.0_р_._-;\-* #,##0.0_р_._-;_-* &quot;-&quot;?_р_._-;_-@_-"/>
    <numFmt numFmtId="171" formatCode="_-* #,##0.000_р_._-;\-* #,##0.000_р_._-;_-* &quot;-&quot;??_р_._-;_-@_-"/>
    <numFmt numFmtId="172" formatCode="#,##0.00000"/>
    <numFmt numFmtId="173" formatCode="#."/>
    <numFmt numFmtId="174" formatCode="#.00"/>
    <numFmt numFmtId="175" formatCode="&quot;$&quot;#.00"/>
    <numFmt numFmtId="176" formatCode="_-* ###,0&quot;.&quot;00&quot;$&quot;_-;\-* ###,0&quot;.&quot;00&quot;$&quot;_-;_-* &quot;-&quot;??&quot;$&quot;_-;_-@_-"/>
    <numFmt numFmtId="177" formatCode="_(* ##,#0&quot;.&quot;0_);_(* \(###,0&quot;.&quot;00\);_(* &quot;-&quot;??_);_(@_)"/>
    <numFmt numFmtId="178" formatCode="General_)"/>
    <numFmt numFmtId="179" formatCode="0&quot;.&quot;000"/>
    <numFmt numFmtId="180" formatCode="&quot;fl&quot;#,##0_);\(&quot;fl&quot;#,##0\)"/>
    <numFmt numFmtId="181" formatCode="&quot;fl&quot;#,##0_);[Red]\(&quot;fl&quot;#,##0\)"/>
    <numFmt numFmtId="182" formatCode="&quot;fl&quot;###,0&quot;.&quot;00_);\(&quot;fl&quot;###,0&quot;.&quot;00\)"/>
    <numFmt numFmtId="183" formatCode="000"/>
    <numFmt numFmtId="184" formatCode="_-* #,##0.00[$€-1]_-;\-* #,##0.00[$€-1]_-;_-* &quot;-&quot;??[$€-1]_-"/>
    <numFmt numFmtId="185" formatCode="_-* #,##0_?_._-;\-* #,##0_?_._-;_-* &quot;-&quot;_?_._-;_-@_-"/>
    <numFmt numFmtId="186" formatCode="_-* ###,0&quot;.&quot;00_?_._-;\-* ###,0&quot;.&quot;00_?_._-;_-* &quot;-&quot;??_?_._-;_-@_-"/>
    <numFmt numFmtId="187" formatCode="&quot;fl&quot;###,0&quot;.&quot;00_);[Red]\(&quot;fl&quot;###,0&quot;.&quot;00\)"/>
    <numFmt numFmtId="188" formatCode="_(&quot;fl&quot;* #,##0_);_(&quot;fl&quot;* \(#,##0\);_(&quot;fl&quot;* &quot;-&quot;_);_(@_)"/>
    <numFmt numFmtId="189" formatCode="#,##0_);[Blue]\(\-\)\ #,##0_)"/>
    <numFmt numFmtId="190" formatCode="_-* #,##0.00\ _р_._-;\-* #,##0.00\ _р_._-;_-* &quot;-&quot;??\ _р_._-;_-@_-"/>
    <numFmt numFmtId="191" formatCode="%#.00"/>
    <numFmt numFmtId="192" formatCode="#,##0.0000"/>
    <numFmt numFmtId="193" formatCode="0.0000"/>
    <numFmt numFmtId="194" formatCode="[$-419]General"/>
    <numFmt numFmtId="195" formatCode="[$-419]0.0"/>
    <numFmt numFmtId="196" formatCode="#,##0.0_р_."/>
    <numFmt numFmtId="197" formatCode="0.000"/>
    <numFmt numFmtId="198" formatCode="#,##0_р_."/>
    <numFmt numFmtId="199" formatCode="_-* #,##0.00000_р_._-;\-* #,##0.00000_р_._-;_-* &quot;-&quot;?????_р_._-;_-@_-"/>
    <numFmt numFmtId="200" formatCode="###\ ###\ ###\ ##0"/>
    <numFmt numFmtId="201" formatCode="0.0%"/>
    <numFmt numFmtId="202" formatCode="#,##0.000_ ;\-#,##0.000\ "/>
    <numFmt numFmtId="203" formatCode="#,##0.0;\-#,##0.0;0.0"/>
    <numFmt numFmtId="204" formatCode="#,##0.0\ _₽"/>
    <numFmt numFmtId="205" formatCode="_(* #,##0.00_);_(* \(#,##0.00\);_(* &quot;-&quot;??_);_(@_)"/>
  </numFmts>
  <fonts count="2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sz val="15"/>
      <name val="Arial Cyr"/>
      <charset val="204"/>
    </font>
    <font>
      <sz val="17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162"/>
      <scheme val="minor"/>
    </font>
    <font>
      <sz val="16"/>
      <color indexed="8"/>
      <name val="Calibri"/>
      <family val="2"/>
      <charset val="162"/>
      <scheme val="minor"/>
    </font>
    <font>
      <i/>
      <sz val="16"/>
      <color indexed="8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sz val="17"/>
      <name val="Calibri"/>
      <family val="2"/>
      <charset val="162"/>
      <scheme val="minor"/>
    </font>
    <font>
      <b/>
      <sz val="16"/>
      <color indexed="8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i/>
      <sz val="9"/>
      <color indexed="8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sz val="8"/>
      <color rgb="FF000000"/>
      <name val="Verdana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5"/>
      <color indexed="8"/>
      <name val="Calibri"/>
      <family val="2"/>
      <charset val="162"/>
      <scheme val="minor"/>
    </font>
    <font>
      <b/>
      <sz val="14"/>
      <name val="Arial Cyr"/>
      <charset val="204"/>
    </font>
    <font>
      <b/>
      <sz val="1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0"/>
      <name val="BalticHlv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indexed="8"/>
      <name val="Calibri"/>
      <family val="2"/>
      <charset val="1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 CYR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charset val="204"/>
    </font>
    <font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8"/>
      <name val="Times New Roman"/>
      <family val="1"/>
    </font>
    <font>
      <b/>
      <sz val="14"/>
      <name val="Times New Roman"/>
      <family val="1"/>
      <charset val="204"/>
    </font>
    <font>
      <i/>
      <sz val="10"/>
      <name val="Times New Roman"/>
      <family val="1"/>
    </font>
    <font>
      <b/>
      <sz val="10"/>
      <name val="Times New Roman CE"/>
      <family val="1"/>
      <charset val="238"/>
    </font>
    <font>
      <b/>
      <sz val="10"/>
      <name val="Times New Roman"/>
      <family val="1"/>
    </font>
    <font>
      <sz val="9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5"/>
      <color indexed="8"/>
      <name val="Calibri"/>
      <family val="2"/>
      <charset val="204"/>
      <scheme val="minor"/>
    </font>
    <font>
      <b/>
      <sz val="15"/>
      <color indexed="8"/>
      <name val="Calibri"/>
      <family val="2"/>
      <charset val="204"/>
      <scheme val="minor"/>
    </font>
    <font>
      <b/>
      <i/>
      <sz val="15"/>
      <color indexed="8"/>
      <name val="Calibri"/>
      <family val="2"/>
      <charset val="204"/>
      <scheme val="minor"/>
    </font>
    <font>
      <i/>
      <sz val="15"/>
      <color indexed="8"/>
      <name val="Calibri"/>
      <family val="2"/>
      <charset val="204"/>
      <scheme val="minor"/>
    </font>
    <font>
      <i/>
      <sz val="15"/>
      <name val="Arial Cyr"/>
      <charset val="204"/>
    </font>
    <font>
      <i/>
      <sz val="14"/>
      <name val="Arial Cyr"/>
      <charset val="204"/>
    </font>
    <font>
      <sz val="15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i/>
      <sz val="1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5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5"/>
      <color rgb="FF000000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i/>
      <sz val="16"/>
      <color indexed="8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sz val="8"/>
      <name val="Arial Cyr"/>
      <charset val="204"/>
    </font>
    <font>
      <sz val="9"/>
      <name val="Calibri"/>
      <family val="2"/>
      <charset val="204"/>
    </font>
    <font>
      <sz val="12"/>
      <color rgb="FFFF0000"/>
      <name val="Arial Cyr"/>
      <charset val="204"/>
    </font>
    <font>
      <sz val="9"/>
      <color indexed="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9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u/>
      <sz val="10"/>
      <name val="Arial Cyr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indexed="8"/>
      <name val="Calibri"/>
      <family val="2"/>
      <charset val="204"/>
      <scheme val="minor"/>
    </font>
    <font>
      <b/>
      <sz val="8"/>
      <name val="Arial Cyr"/>
      <charset val="204"/>
    </font>
    <font>
      <sz val="8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162"/>
      <scheme val="minor"/>
    </font>
    <font>
      <b/>
      <i/>
      <sz val="8"/>
      <color indexed="8"/>
      <name val="Calibri"/>
      <family val="2"/>
      <charset val="204"/>
      <scheme val="minor"/>
    </font>
    <font>
      <i/>
      <sz val="8"/>
      <name val="Arial Cyr"/>
      <charset val="204"/>
    </font>
    <font>
      <b/>
      <sz val="8"/>
      <color indexed="8"/>
      <name val="Calibri"/>
      <family val="2"/>
      <charset val="162"/>
      <scheme val="minor"/>
    </font>
    <font>
      <i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162"/>
      <scheme val="minor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8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7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949694"/>
      </left>
      <right style="thin">
        <color rgb="FF949694"/>
      </right>
      <top style="thin">
        <color rgb="FF949694"/>
      </top>
      <bottom style="thin">
        <color rgb="FF94969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84">
    <xf numFmtId="0" fontId="0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25" fillId="0" borderId="0"/>
    <xf numFmtId="0" fontId="8" fillId="0" borderId="0"/>
    <xf numFmtId="0" fontId="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48" fillId="14" borderId="23" applyNumberFormat="0" applyFont="0" applyAlignment="0" applyProtection="0"/>
    <xf numFmtId="0" fontId="48" fillId="14" borderId="23" applyNumberFormat="0" applyFont="0" applyAlignment="0" applyProtection="0"/>
    <xf numFmtId="0" fontId="48" fillId="14" borderId="23" applyNumberFormat="0" applyFont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7" fillId="0" borderId="0"/>
    <xf numFmtId="0" fontId="9" fillId="0" borderId="0"/>
    <xf numFmtId="0" fontId="83" fillId="0" borderId="0"/>
    <xf numFmtId="0" fontId="6" fillId="0" borderId="0"/>
    <xf numFmtId="0" fontId="7" fillId="0" borderId="0"/>
    <xf numFmtId="0" fontId="7" fillId="0" borderId="0"/>
    <xf numFmtId="0" fontId="29" fillId="0" borderId="0"/>
    <xf numFmtId="0" fontId="7" fillId="0" borderId="0"/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horizontal="center"/>
    </xf>
    <xf numFmtId="0" fontId="9" fillId="0" borderId="0"/>
    <xf numFmtId="0" fontId="9" fillId="0" borderId="0"/>
    <xf numFmtId="0" fontId="7" fillId="0" borderId="0">
      <alignment horizontal="center"/>
    </xf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7" fillId="0" borderId="0">
      <alignment horizontal="center"/>
    </xf>
    <xf numFmtId="0" fontId="88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88" fillId="0" borderId="0"/>
    <xf numFmtId="0" fontId="88" fillId="0" borderId="0"/>
    <xf numFmtId="0" fontId="7" fillId="0" borderId="0">
      <alignment horizontal="center"/>
    </xf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>
      <alignment horizontal="center"/>
    </xf>
    <xf numFmtId="0" fontId="9" fillId="0" borderId="0"/>
    <xf numFmtId="0" fontId="9" fillId="0" borderId="0"/>
    <xf numFmtId="0" fontId="7" fillId="0" borderId="0">
      <alignment horizontal="center"/>
    </xf>
    <xf numFmtId="0" fontId="7" fillId="0" borderId="0">
      <alignment horizontal="center"/>
    </xf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7" fillId="0" borderId="0">
      <alignment horizontal="center"/>
    </xf>
    <xf numFmtId="0" fontId="7" fillId="0" borderId="0">
      <alignment horizontal="center"/>
    </xf>
    <xf numFmtId="0" fontId="9" fillId="0" borderId="0"/>
    <xf numFmtId="0" fontId="9" fillId="0" borderId="0"/>
    <xf numFmtId="0" fontId="9" fillId="0" borderId="0"/>
    <xf numFmtId="0" fontId="7" fillId="0" borderId="0">
      <alignment horizontal="center"/>
    </xf>
    <xf numFmtId="0" fontId="29" fillId="0" borderId="0"/>
    <xf numFmtId="0" fontId="9" fillId="0" borderId="0"/>
    <xf numFmtId="0" fontId="9" fillId="0" borderId="0"/>
    <xf numFmtId="0" fontId="7" fillId="0" borderId="0">
      <alignment horizontal="center"/>
    </xf>
    <xf numFmtId="0" fontId="29" fillId="0" borderId="0"/>
    <xf numFmtId="0" fontId="9" fillId="0" borderId="0"/>
    <xf numFmtId="0" fontId="88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4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5" fontId="87" fillId="0" borderId="0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173" fontId="87" fillId="0" borderId="28">
      <protection locked="0"/>
    </xf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1" fillId="54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5" borderId="0" applyNumberFormat="0" applyBorder="0" applyAlignment="0" applyProtection="0"/>
    <xf numFmtId="0" fontId="91" fillId="56" borderId="0" applyNumberFormat="0" applyBorder="0" applyAlignment="0" applyProtection="0"/>
    <xf numFmtId="0" fontId="91" fillId="57" borderId="0" applyNumberFormat="0" applyBorder="0" applyAlignment="0" applyProtection="0"/>
    <xf numFmtId="176" fontId="9" fillId="0" borderId="0" applyFont="0" applyFill="0" applyBorder="0" applyAlignment="0" applyProtection="0"/>
    <xf numFmtId="0" fontId="91" fillId="58" borderId="0" applyNumberFormat="0" applyBorder="0" applyAlignment="0" applyProtection="0"/>
    <xf numFmtId="0" fontId="91" fillId="59" borderId="0" applyNumberFormat="0" applyBorder="0" applyAlignment="0" applyProtection="0"/>
    <xf numFmtId="0" fontId="91" fillId="60" borderId="0" applyNumberFormat="0" applyBorder="0" applyAlignment="0" applyProtection="0"/>
    <xf numFmtId="0" fontId="91" fillId="55" borderId="0" applyNumberFormat="0" applyBorder="0" applyAlignment="0" applyProtection="0"/>
    <xf numFmtId="0" fontId="91" fillId="56" borderId="0" applyNumberFormat="0" applyBorder="0" applyAlignment="0" applyProtection="0"/>
    <xf numFmtId="0" fontId="91" fillId="61" borderId="0" applyNumberFormat="0" applyBorder="0" applyAlignment="0" applyProtection="0"/>
    <xf numFmtId="0" fontId="92" fillId="45" borderId="0" applyNumberFormat="0" applyBorder="0" applyAlignment="0" applyProtection="0"/>
    <xf numFmtId="177" fontId="93" fillId="0" borderId="0" applyFill="0" applyBorder="0" applyAlignment="0"/>
    <xf numFmtId="178" fontId="93" fillId="0" borderId="0" applyFill="0" applyBorder="0" applyAlignment="0"/>
    <xf numFmtId="179" fontId="93" fillId="0" borderId="0" applyFill="0" applyBorder="0" applyAlignment="0"/>
    <xf numFmtId="180" fontId="93" fillId="0" borderId="0" applyFill="0" applyBorder="0" applyAlignment="0"/>
    <xf numFmtId="181" fontId="93" fillId="0" borderId="0" applyFill="0" applyBorder="0" applyAlignment="0"/>
    <xf numFmtId="177" fontId="93" fillId="0" borderId="0" applyFill="0" applyBorder="0" applyAlignment="0"/>
    <xf numFmtId="182" fontId="93" fillId="0" borderId="0" applyFill="0" applyBorder="0" applyAlignment="0"/>
    <xf numFmtId="178" fontId="93" fillId="0" borderId="0" applyFill="0" applyBorder="0" applyAlignment="0"/>
    <xf numFmtId="0" fontId="94" fillId="62" borderId="29" applyNumberFormat="0" applyAlignment="0" applyProtection="0"/>
    <xf numFmtId="183" fontId="95" fillId="0" borderId="17">
      <alignment horizontal="center" vertical="top" wrapText="1"/>
    </xf>
    <xf numFmtId="0" fontId="96" fillId="63" borderId="30" applyNumberFormat="0" applyAlignment="0" applyProtection="0"/>
    <xf numFmtId="0" fontId="97" fillId="0" borderId="0" applyFont="0" applyFill="0" applyBorder="0" applyAlignment="0" applyProtection="0"/>
    <xf numFmtId="177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7" fillId="0" borderId="0" applyFont="0" applyFill="0" applyBorder="0" applyAlignment="0" applyProtection="0"/>
    <xf numFmtId="178" fontId="93" fillId="0" borderId="0" applyFont="0" applyFill="0" applyBorder="0" applyAlignment="0" applyProtection="0"/>
    <xf numFmtId="182" fontId="93" fillId="0" borderId="0" applyFont="0" applyFill="0" applyBorder="0" applyAlignment="0" applyProtection="0"/>
    <xf numFmtId="14" fontId="98" fillId="0" borderId="0" applyFill="0" applyBorder="0" applyAlignment="0"/>
    <xf numFmtId="38" fontId="99" fillId="0" borderId="31">
      <alignment vertical="center"/>
    </xf>
    <xf numFmtId="0" fontId="100" fillId="0" borderId="0">
      <alignment horizontal="left"/>
    </xf>
    <xf numFmtId="177" fontId="93" fillId="0" borderId="0" applyFill="0" applyBorder="0" applyAlignment="0"/>
    <xf numFmtId="178" fontId="93" fillId="0" borderId="0" applyFill="0" applyBorder="0" applyAlignment="0"/>
    <xf numFmtId="177" fontId="93" fillId="0" borderId="0" applyFill="0" applyBorder="0" applyAlignment="0"/>
    <xf numFmtId="182" fontId="93" fillId="0" borderId="0" applyFill="0" applyBorder="0" applyAlignment="0"/>
    <xf numFmtId="178" fontId="93" fillId="0" borderId="0" applyFill="0" applyBorder="0" applyAlignment="0"/>
    <xf numFmtId="184" fontId="7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/>
    <xf numFmtId="0" fontId="102" fillId="46" borderId="0" applyNumberFormat="0" applyBorder="0" applyAlignment="0" applyProtection="0"/>
    <xf numFmtId="0" fontId="103" fillId="0" borderId="22" applyNumberFormat="0" applyAlignment="0" applyProtection="0">
      <alignment horizontal="left" vertical="center"/>
    </xf>
    <xf numFmtId="0" fontId="103" fillId="0" borderId="13">
      <alignment horizontal="left" vertical="center"/>
    </xf>
    <xf numFmtId="0" fontId="104" fillId="0" borderId="32" applyNumberFormat="0" applyFill="0" applyAlignment="0" applyProtection="0"/>
    <xf numFmtId="0" fontId="105" fillId="0" borderId="33" applyNumberFormat="0" applyFill="0" applyAlignment="0" applyProtection="0"/>
    <xf numFmtId="0" fontId="106" fillId="0" borderId="34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/>
    <xf numFmtId="0" fontId="37" fillId="0" borderId="0"/>
    <xf numFmtId="0" fontId="108" fillId="0" borderId="0"/>
    <xf numFmtId="0" fontId="45" fillId="0" borderId="0"/>
    <xf numFmtId="0" fontId="36" fillId="0" borderId="0"/>
    <xf numFmtId="0" fontId="109" fillId="0" borderId="0"/>
    <xf numFmtId="0" fontId="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1" fillId="49" borderId="29" applyNumberFormat="0" applyAlignment="0" applyProtection="0"/>
    <xf numFmtId="177" fontId="93" fillId="0" borderId="0" applyFill="0" applyBorder="0" applyAlignment="0"/>
    <xf numFmtId="178" fontId="93" fillId="0" borderId="0" applyFill="0" applyBorder="0" applyAlignment="0"/>
    <xf numFmtId="177" fontId="93" fillId="0" borderId="0" applyFill="0" applyBorder="0" applyAlignment="0"/>
    <xf numFmtId="182" fontId="93" fillId="0" borderId="0" applyFill="0" applyBorder="0" applyAlignment="0"/>
    <xf numFmtId="178" fontId="93" fillId="0" borderId="0" applyFill="0" applyBorder="0" applyAlignment="0"/>
    <xf numFmtId="0" fontId="112" fillId="0" borderId="35" applyNumberFormat="0" applyFill="0" applyAlignment="0" applyProtection="0"/>
    <xf numFmtId="0" fontId="9" fillId="0" borderId="0">
      <alignment horizontal="center"/>
    </xf>
    <xf numFmtId="0" fontId="113" fillId="64" borderId="17">
      <alignment horizontal="left" vertical="top" wrapText="1"/>
    </xf>
    <xf numFmtId="0" fontId="95" fillId="0" borderId="17">
      <alignment horizontal="left" vertical="top" wrapText="1"/>
    </xf>
    <xf numFmtId="0" fontId="114" fillId="0" borderId="17">
      <alignment horizontal="left" vertical="top" wrapText="1"/>
    </xf>
    <xf numFmtId="0" fontId="115" fillId="65" borderId="0" applyNumberFormat="0" applyBorder="0" applyAlignment="0" applyProtection="0"/>
    <xf numFmtId="0" fontId="38" fillId="0" borderId="0"/>
    <xf numFmtId="0" fontId="9" fillId="0" borderId="0"/>
    <xf numFmtId="0" fontId="29" fillId="0" borderId="0"/>
    <xf numFmtId="0" fontId="7" fillId="66" borderId="36" applyNumberFormat="0" applyFont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0" fontId="116" fillId="0" borderId="0"/>
    <xf numFmtId="0" fontId="117" fillId="62" borderId="37" applyNumberFormat="0" applyAlignment="0" applyProtection="0"/>
    <xf numFmtId="181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87" fontId="93" fillId="0" borderId="0" applyFont="0" applyFill="0" applyBorder="0" applyAlignment="0" applyProtection="0"/>
    <xf numFmtId="177" fontId="93" fillId="0" borderId="0" applyFill="0" applyBorder="0" applyAlignment="0"/>
    <xf numFmtId="178" fontId="93" fillId="0" borderId="0" applyFill="0" applyBorder="0" applyAlignment="0"/>
    <xf numFmtId="177" fontId="93" fillId="0" borderId="0" applyFill="0" applyBorder="0" applyAlignment="0"/>
    <xf numFmtId="182" fontId="93" fillId="0" borderId="0" applyFill="0" applyBorder="0" applyAlignment="0"/>
    <xf numFmtId="178" fontId="93" fillId="0" borderId="0" applyFill="0" applyBorder="0" applyAlignment="0"/>
    <xf numFmtId="0" fontId="9" fillId="0" borderId="0"/>
    <xf numFmtId="0" fontId="118" fillId="0" borderId="0">
      <alignment horizontal="left" vertical="center"/>
    </xf>
    <xf numFmtId="0" fontId="118" fillId="0" borderId="0">
      <alignment horizontal="center" vertical="center"/>
    </xf>
    <xf numFmtId="0" fontId="119" fillId="0" borderId="0">
      <alignment horizontal="left" vertical="top"/>
    </xf>
    <xf numFmtId="49" fontId="98" fillId="0" borderId="0" applyFill="0" applyBorder="0" applyAlignment="0"/>
    <xf numFmtId="187" fontId="93" fillId="0" borderId="0" applyFill="0" applyBorder="0" applyAlignment="0"/>
    <xf numFmtId="188" fontId="93" fillId="0" borderId="0" applyFill="0" applyBorder="0" applyAlignment="0"/>
    <xf numFmtId="0" fontId="120" fillId="0" borderId="0" applyNumberFormat="0" applyFill="0" applyBorder="0" applyAlignment="0" applyProtection="0"/>
    <xf numFmtId="0" fontId="121" fillId="0" borderId="38" applyNumberFormat="0" applyFill="0" applyAlignment="0" applyProtection="0"/>
    <xf numFmtId="0" fontId="9" fillId="0" borderId="0"/>
    <xf numFmtId="0" fontId="9" fillId="0" borderId="0">
      <alignment horizontal="center" textRotation="90"/>
    </xf>
    <xf numFmtId="0" fontId="122" fillId="0" borderId="0" applyNumberFormat="0" applyFill="0" applyBorder="0" applyAlignment="0" applyProtection="0"/>
    <xf numFmtId="189" fontId="18" fillId="0" borderId="1" applyBorder="0">
      <protection hidden="1"/>
    </xf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3" fillId="0" borderId="0"/>
    <xf numFmtId="9" fontId="9" fillId="0" borderId="0" applyFont="0" applyFill="0" applyBorder="0" applyAlignment="0" applyProtection="0"/>
    <xf numFmtId="0" fontId="29" fillId="0" borderId="0"/>
    <xf numFmtId="0" fontId="88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173" fontId="89" fillId="0" borderId="0">
      <protection locked="0"/>
    </xf>
    <xf numFmtId="43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90" fillId="0" borderId="0" applyFont="0" applyFill="0" applyBorder="0" applyAlignment="0" applyProtection="0"/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191" fontId="87" fillId="0" borderId="0">
      <protection locked="0"/>
    </xf>
    <xf numFmtId="0" fontId="123" fillId="0" borderId="0"/>
    <xf numFmtId="43" fontId="5" fillId="0" borderId="0" applyFont="0" applyFill="0" applyBorder="0" applyAlignment="0" applyProtection="0"/>
    <xf numFmtId="0" fontId="7" fillId="0" borderId="0"/>
    <xf numFmtId="0" fontId="125" fillId="0" borderId="0"/>
    <xf numFmtId="0" fontId="128" fillId="0" borderId="0"/>
    <xf numFmtId="0" fontId="4" fillId="0" borderId="0"/>
    <xf numFmtId="0" fontId="90" fillId="0" borderId="0"/>
    <xf numFmtId="194" fontId="142" fillId="0" borderId="0"/>
    <xf numFmtId="0" fontId="9" fillId="0" borderId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217" fillId="0" borderId="0"/>
    <xf numFmtId="205" fontId="217" fillId="0" borderId="0" applyFont="0" applyFill="0" applyBorder="0" applyAlignment="0" applyProtection="0"/>
    <xf numFmtId="0" fontId="97" fillId="0" borderId="0"/>
  </cellStyleXfs>
  <cellXfs count="1353">
    <xf numFmtId="0" fontId="0" fillId="0" borderId="0" xfId="0"/>
    <xf numFmtId="0" fontId="0" fillId="0" borderId="0" xfId="0" applyFill="1"/>
    <xf numFmtId="0" fontId="0" fillId="15" borderId="0" xfId="0" applyFill="1"/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42" applyFont="1" applyFill="1" applyAlignment="1" applyProtection="1">
      <alignment vertical="center"/>
      <protection locked="0"/>
    </xf>
    <xf numFmtId="2" fontId="50" fillId="0" borderId="0" xfId="42" applyNumberFormat="1" applyFont="1" applyFill="1" applyAlignment="1" applyProtection="1">
      <alignment vertical="center"/>
      <protection locked="0"/>
    </xf>
    <xf numFmtId="166" fontId="53" fillId="0" borderId="0" xfId="60" applyNumberFormat="1" applyFont="1" applyFill="1" applyAlignment="1" applyProtection="1">
      <alignment vertical="center"/>
      <protection locked="0"/>
    </xf>
    <xf numFmtId="0" fontId="53" fillId="0" borderId="0" xfId="42" applyFont="1" applyFill="1" applyAlignment="1" applyProtection="1">
      <alignment vertical="center"/>
      <protection locked="0"/>
    </xf>
    <xf numFmtId="166" fontId="54" fillId="0" borderId="0" xfId="60" applyNumberFormat="1" applyFont="1" applyFill="1" applyAlignment="1" applyProtection="1">
      <alignment horizontal="left" vertical="center" wrapText="1"/>
      <protection locked="0"/>
    </xf>
    <xf numFmtId="0" fontId="54" fillId="0" borderId="0" xfId="42" applyFont="1" applyFill="1" applyAlignment="1" applyProtection="1">
      <alignment horizontal="left" vertical="center" wrapText="1"/>
      <protection locked="0"/>
    </xf>
    <xf numFmtId="0" fontId="0" fillId="0" borderId="1" xfId="0" applyFill="1" applyBorder="1"/>
    <xf numFmtId="0" fontId="0" fillId="0" borderId="0" xfId="0" applyBorder="1"/>
    <xf numFmtId="0" fontId="14" fillId="0" borderId="0" xfId="0" applyFont="1" applyFill="1"/>
    <xf numFmtId="0" fontId="0" fillId="18" borderId="0" xfId="0" applyFill="1"/>
    <xf numFmtId="0" fontId="13" fillId="0" borderId="0" xfId="0" applyFont="1" applyFill="1" applyAlignment="1">
      <alignment vertical="center"/>
    </xf>
    <xf numFmtId="166" fontId="56" fillId="0" borderId="0" xfId="60" applyNumberFormat="1" applyFont="1" applyFill="1" applyAlignment="1" applyProtection="1">
      <alignment vertical="center"/>
      <protection locked="0"/>
    </xf>
    <xf numFmtId="2" fontId="56" fillId="0" borderId="0" xfId="60" applyNumberFormat="1" applyFont="1" applyFill="1" applyAlignment="1" applyProtection="1">
      <alignment vertical="center"/>
      <protection locked="0"/>
    </xf>
    <xf numFmtId="2" fontId="57" fillId="0" borderId="0" xfId="42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3" fontId="50" fillId="0" borderId="0" xfId="40" applyNumberFormat="1" applyFont="1" applyFill="1" applyBorder="1" applyAlignment="1">
      <alignment wrapText="1"/>
    </xf>
    <xf numFmtId="3" fontId="50" fillId="0" borderId="0" xfId="40" applyNumberFormat="1" applyFont="1" applyFill="1" applyBorder="1" applyAlignment="1">
      <alignment horizontal="left" vertical="top" wrapText="1"/>
    </xf>
    <xf numFmtId="3" fontId="50" fillId="0" borderId="0" xfId="40" applyNumberFormat="1" applyFont="1" applyFill="1" applyBorder="1" applyAlignment="1">
      <alignment horizontal="right" wrapText="1"/>
    </xf>
    <xf numFmtId="166" fontId="50" fillId="0" borderId="0" xfId="42" applyNumberFormat="1" applyFont="1" applyFill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166" fontId="50" fillId="0" borderId="0" xfId="42" applyNumberFormat="1" applyFont="1" applyFill="1" applyBorder="1" applyAlignment="1" applyProtection="1">
      <alignment vertical="center"/>
      <protection locked="0"/>
    </xf>
    <xf numFmtId="0" fontId="50" fillId="0" borderId="0" xfId="42" applyFont="1" applyFill="1" applyBorder="1" applyAlignment="1" applyProtection="1">
      <alignment vertical="center"/>
      <protection locked="0"/>
    </xf>
    <xf numFmtId="0" fontId="53" fillId="0" borderId="0" xfId="42" applyFont="1" applyFill="1" applyBorder="1" applyAlignment="1" applyProtection="1">
      <alignment horizontal="left" vertical="center"/>
      <protection locked="0"/>
    </xf>
    <xf numFmtId="0" fontId="53" fillId="0" borderId="0" xfId="42" applyFont="1" applyFill="1" applyBorder="1" applyAlignment="1" applyProtection="1">
      <alignment horizontal="left" vertical="center" wrapText="1"/>
      <protection locked="0"/>
    </xf>
    <xf numFmtId="166" fontId="60" fillId="0" borderId="0" xfId="58" applyNumberFormat="1" applyFont="1" applyFill="1" applyBorder="1" applyAlignment="1" applyProtection="1">
      <alignment vertical="center"/>
      <protection locked="0"/>
    </xf>
    <xf numFmtId="0" fontId="53" fillId="0" borderId="0" xfId="42" applyFont="1" applyFill="1" applyBorder="1" applyAlignment="1" applyProtection="1">
      <alignment vertical="center"/>
      <protection locked="0"/>
    </xf>
    <xf numFmtId="0" fontId="53" fillId="0" borderId="0" xfId="42" applyFont="1" applyFill="1" applyBorder="1" applyAlignment="1" applyProtection="1">
      <alignment vertical="center" wrapText="1"/>
      <protection locked="0"/>
    </xf>
    <xf numFmtId="0" fontId="58" fillId="17" borderId="1" xfId="37" applyFont="1" applyFill="1" applyBorder="1" applyAlignment="1">
      <alignment vertical="center" wrapText="1"/>
    </xf>
    <xf numFmtId="0" fontId="59" fillId="17" borderId="1" xfId="37" applyFont="1" applyFill="1" applyBorder="1" applyAlignment="1">
      <alignment vertical="center"/>
    </xf>
    <xf numFmtId="166" fontId="58" fillId="17" borderId="1" xfId="58" applyNumberFormat="1" applyFont="1" applyFill="1" applyBorder="1" applyAlignment="1">
      <alignment horizontal="left" vertical="center" wrapText="1"/>
    </xf>
    <xf numFmtId="166" fontId="51" fillId="18" borderId="1" xfId="58" applyNumberFormat="1" applyFont="1" applyFill="1" applyBorder="1" applyAlignment="1">
      <alignment horizontal="left" vertical="center" wrapText="1"/>
    </xf>
    <xf numFmtId="166" fontId="62" fillId="0" borderId="0" xfId="0" applyNumberFormat="1" applyFont="1" applyFill="1" applyAlignment="1">
      <alignment vertical="center"/>
    </xf>
    <xf numFmtId="3" fontId="0" fillId="18" borderId="0" xfId="0" applyNumberFormat="1" applyFill="1"/>
    <xf numFmtId="49" fontId="18" fillId="0" borderId="0" xfId="0" applyNumberFormat="1" applyFont="1" applyAlignment="1">
      <alignment horizontal="centerContinuous" wrapText="1"/>
    </xf>
    <xf numFmtId="0" fontId="18" fillId="0" borderId="0" xfId="0" applyFont="1" applyAlignment="1">
      <alignment horizontal="centerContinuous" wrapText="1"/>
    </xf>
    <xf numFmtId="0" fontId="18" fillId="0" borderId="0" xfId="0" applyFont="1"/>
    <xf numFmtId="0" fontId="17" fillId="0" borderId="0" xfId="0" applyFont="1" applyAlignment="1">
      <alignment horizontal="centerContinuous" wrapText="1"/>
    </xf>
    <xf numFmtId="49" fontId="19" fillId="0" borderId="0" xfId="0" applyNumberFormat="1" applyFont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64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164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164" fontId="24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Continuous" vertical="center" wrapText="1"/>
    </xf>
    <xf numFmtId="0" fontId="63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Font="1"/>
    <xf numFmtId="0" fontId="17" fillId="0" borderId="0" xfId="0" applyFont="1"/>
    <xf numFmtId="0" fontId="31" fillId="0" borderId="0" xfId="0" applyFont="1"/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/>
    </xf>
    <xf numFmtId="0" fontId="34" fillId="0" borderId="0" xfId="0" applyFont="1"/>
    <xf numFmtId="49" fontId="35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164" fontId="19" fillId="20" borderId="0" xfId="0" applyNumberFormat="1" applyFont="1" applyFill="1" applyAlignment="1">
      <alignment vertical="center"/>
    </xf>
    <xf numFmtId="0" fontId="24" fillId="21" borderId="0" xfId="0" applyFont="1" applyFill="1" applyAlignment="1">
      <alignment vertical="center" wrapText="1"/>
    </xf>
    <xf numFmtId="49" fontId="19" fillId="20" borderId="0" xfId="0" applyNumberFormat="1" applyFont="1" applyFill="1" applyAlignment="1">
      <alignment vertical="center"/>
    </xf>
    <xf numFmtId="0" fontId="24" fillId="16" borderId="0" xfId="0" applyFont="1" applyFill="1" applyAlignment="1">
      <alignment vertical="center" wrapText="1"/>
    </xf>
    <xf numFmtId="0" fontId="24" fillId="22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4" fillId="25" borderId="0" xfId="0" applyFont="1" applyFill="1" applyAlignment="1">
      <alignment vertical="center" wrapText="1"/>
    </xf>
    <xf numFmtId="0" fontId="24" fillId="26" borderId="0" xfId="0" applyFont="1" applyFill="1" applyAlignment="1">
      <alignment vertical="center" wrapText="1"/>
    </xf>
    <xf numFmtId="0" fontId="24" fillId="21" borderId="0" xfId="0" applyFont="1" applyFill="1" applyAlignment="1">
      <alignment horizontal="center" vertical="center" wrapText="1"/>
    </xf>
    <xf numFmtId="43" fontId="19" fillId="0" borderId="0" xfId="0" applyNumberFormat="1" applyFont="1" applyAlignment="1">
      <alignment vertical="center"/>
    </xf>
    <xf numFmtId="0" fontId="24" fillId="28" borderId="0" xfId="0" applyFont="1" applyFill="1" applyAlignment="1">
      <alignment vertical="center" wrapText="1"/>
    </xf>
    <xf numFmtId="0" fontId="24" fillId="29" borderId="0" xfId="0" applyFont="1" applyFill="1" applyAlignment="1">
      <alignment vertical="center" wrapText="1"/>
    </xf>
    <xf numFmtId="0" fontId="10" fillId="30" borderId="0" xfId="0" applyFont="1" applyFill="1"/>
    <xf numFmtId="0" fontId="12" fillId="30" borderId="0" xfId="0" applyFont="1" applyFill="1"/>
    <xf numFmtId="0" fontId="0" fillId="0" borderId="1" xfId="0" applyBorder="1"/>
    <xf numFmtId="3" fontId="50" fillId="0" borderId="0" xfId="4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24" fillId="31" borderId="0" xfId="0" applyFont="1" applyFill="1" applyAlignment="1">
      <alignment vertical="center" wrapText="1"/>
    </xf>
    <xf numFmtId="0" fontId="21" fillId="2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4" fillId="32" borderId="0" xfId="0" applyFont="1" applyFill="1" applyAlignment="1">
      <alignment vertical="center" wrapText="1"/>
    </xf>
    <xf numFmtId="0" fontId="24" fillId="37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46" fillId="0" borderId="0" xfId="0" applyFont="1"/>
    <xf numFmtId="4" fontId="44" fillId="0" borderId="1" xfId="0" applyNumberFormat="1" applyFont="1" applyFill="1" applyBorder="1" applyAlignment="1" applyProtection="1">
      <alignment horizontal="center" vertical="center" wrapText="1" readingOrder="1"/>
    </xf>
    <xf numFmtId="0" fontId="44" fillId="0" borderId="1" xfId="0" applyNumberFormat="1" applyFont="1" applyFill="1" applyBorder="1" applyAlignment="1" applyProtection="1">
      <alignment horizontal="center" vertical="center" readingOrder="1"/>
    </xf>
    <xf numFmtId="3" fontId="44" fillId="0" borderId="1" xfId="0" applyNumberFormat="1" applyFont="1" applyFill="1" applyBorder="1" applyAlignment="1" applyProtection="1">
      <alignment horizontal="center" vertical="center" wrapText="1" readingOrder="1"/>
    </xf>
    <xf numFmtId="0" fontId="46" fillId="0" borderId="0" xfId="0" applyFont="1" applyAlignment="1">
      <alignment vertical="center"/>
    </xf>
    <xf numFmtId="0" fontId="0" fillId="0" borderId="0" xfId="0" applyAlignment="1">
      <alignment wrapText="1"/>
    </xf>
    <xf numFmtId="4" fontId="74" fillId="0" borderId="1" xfId="0" applyNumberFormat="1" applyFont="1" applyFill="1" applyBorder="1" applyAlignment="1">
      <alignment vertical="center" wrapText="1"/>
    </xf>
    <xf numFmtId="166" fontId="0" fillId="0" borderId="0" xfId="58" applyNumberFormat="1" applyFont="1"/>
    <xf numFmtId="166" fontId="0" fillId="0" borderId="0" xfId="0" applyNumberFormat="1"/>
    <xf numFmtId="166" fontId="0" fillId="0" borderId="0" xfId="58" applyNumberFormat="1" applyFont="1" applyFill="1"/>
    <xf numFmtId="166" fontId="43" fillId="18" borderId="1" xfId="58" applyNumberFormat="1" applyFont="1" applyFill="1" applyBorder="1" applyAlignment="1" applyProtection="1">
      <alignment horizontal="left" vertical="center" readingOrder="1"/>
    </xf>
    <xf numFmtId="166" fontId="43" fillId="18" borderId="1" xfId="58" applyNumberFormat="1" applyFont="1" applyFill="1" applyBorder="1" applyAlignment="1" applyProtection="1">
      <alignment horizontal="left" vertical="center" wrapText="1" readingOrder="1"/>
    </xf>
    <xf numFmtId="166" fontId="43" fillId="18" borderId="1" xfId="58" applyNumberFormat="1" applyFont="1" applyFill="1" applyBorder="1" applyAlignment="1" applyProtection="1">
      <alignment horizontal="center" vertical="center" readingOrder="1"/>
    </xf>
    <xf numFmtId="166" fontId="43" fillId="18" borderId="1" xfId="58" applyNumberFormat="1" applyFont="1" applyFill="1" applyBorder="1" applyAlignment="1" applyProtection="1">
      <alignment horizontal="center" vertical="center" wrapText="1" readingOrder="1"/>
    </xf>
    <xf numFmtId="166" fontId="69" fillId="0" borderId="1" xfId="58" applyNumberFormat="1" applyFont="1" applyFill="1" applyBorder="1" applyAlignment="1">
      <alignment vertical="center" wrapText="1"/>
    </xf>
    <xf numFmtId="166" fontId="71" fillId="0" borderId="1" xfId="58" applyNumberFormat="1" applyFont="1" applyFill="1" applyBorder="1" applyAlignment="1">
      <alignment vertical="center" wrapText="1"/>
    </xf>
    <xf numFmtId="166" fontId="46" fillId="0" borderId="1" xfId="58" applyNumberFormat="1" applyFont="1" applyBorder="1"/>
    <xf numFmtId="166" fontId="68" fillId="0" borderId="1" xfId="58" applyNumberFormat="1" applyFont="1" applyFill="1" applyBorder="1" applyAlignment="1">
      <alignment vertical="center" wrapText="1"/>
    </xf>
    <xf numFmtId="166" fontId="72" fillId="0" borderId="1" xfId="58" applyNumberFormat="1" applyFont="1" applyFill="1" applyBorder="1" applyAlignment="1">
      <alignment vertical="center" wrapText="1"/>
    </xf>
    <xf numFmtId="166" fontId="73" fillId="0" borderId="1" xfId="58" applyNumberFormat="1" applyFont="1" applyFill="1" applyBorder="1" applyAlignment="1">
      <alignment vertical="center" wrapText="1"/>
    </xf>
    <xf numFmtId="166" fontId="75" fillId="18" borderId="1" xfId="0" applyNumberFormat="1" applyFont="1" applyFill="1" applyBorder="1"/>
    <xf numFmtId="166" fontId="46" fillId="0" borderId="1" xfId="58" applyNumberFormat="1" applyFont="1" applyFill="1" applyBorder="1"/>
    <xf numFmtId="166" fontId="43" fillId="0" borderId="1" xfId="58" applyNumberFormat="1" applyFont="1" applyFill="1" applyBorder="1" applyAlignment="1" applyProtection="1">
      <alignment horizontal="left" vertical="center" readingOrder="1"/>
    </xf>
    <xf numFmtId="166" fontId="0" fillId="0" borderId="1" xfId="58" applyNumberFormat="1" applyFont="1" applyFill="1" applyBorder="1"/>
    <xf numFmtId="166" fontId="0" fillId="0" borderId="1" xfId="58" applyNumberFormat="1" applyFont="1" applyBorder="1"/>
    <xf numFmtId="0" fontId="47" fillId="0" borderId="0" xfId="0" applyFont="1" applyAlignment="1">
      <alignment vertical="center"/>
    </xf>
    <xf numFmtId="166" fontId="0" fillId="20" borderId="1" xfId="58" applyNumberFormat="1" applyFont="1" applyFill="1" applyBorder="1"/>
    <xf numFmtId="166" fontId="43" fillId="35" borderId="1" xfId="58" applyNumberFormat="1" applyFont="1" applyFill="1" applyBorder="1" applyAlignment="1" applyProtection="1">
      <alignment horizontal="left" vertical="center" readingOrder="1"/>
    </xf>
    <xf numFmtId="3" fontId="43" fillId="16" borderId="1" xfId="0" applyNumberFormat="1" applyFont="1" applyFill="1" applyBorder="1" applyAlignment="1" applyProtection="1">
      <alignment horizontal="left" vertical="center" readingOrder="1"/>
    </xf>
    <xf numFmtId="166" fontId="69" fillId="25" borderId="1" xfId="58" applyNumberFormat="1" applyFont="1" applyFill="1" applyBorder="1" applyAlignment="1">
      <alignment vertical="center" wrapText="1"/>
    </xf>
    <xf numFmtId="166" fontId="67" fillId="25" borderId="1" xfId="58" applyNumberFormat="1" applyFont="1" applyFill="1" applyBorder="1" applyAlignment="1">
      <alignment horizontal="left" vertical="center" wrapText="1"/>
    </xf>
    <xf numFmtId="166" fontId="70" fillId="25" borderId="1" xfId="58" applyNumberFormat="1" applyFont="1" applyFill="1" applyBorder="1" applyAlignment="1">
      <alignment horizontal="left" vertical="center" wrapText="1"/>
    </xf>
    <xf numFmtId="166" fontId="71" fillId="25" borderId="1" xfId="58" applyNumberFormat="1" applyFont="1" applyFill="1" applyBorder="1" applyAlignment="1">
      <alignment vertical="center" wrapText="1"/>
    </xf>
    <xf numFmtId="166" fontId="70" fillId="25" borderId="1" xfId="58" applyNumberFormat="1" applyFont="1" applyFill="1" applyBorder="1" applyAlignment="1">
      <alignment vertical="center" wrapText="1"/>
    </xf>
    <xf numFmtId="166" fontId="67" fillId="25" borderId="1" xfId="58" applyNumberFormat="1" applyFont="1" applyFill="1" applyBorder="1" applyAlignment="1">
      <alignment horizontal="center" vertical="center" wrapText="1"/>
    </xf>
    <xf numFmtId="166" fontId="70" fillId="25" borderId="1" xfId="58" applyNumberFormat="1" applyFont="1" applyFill="1" applyBorder="1" applyAlignment="1">
      <alignment horizontal="center" vertical="center" wrapText="1"/>
    </xf>
    <xf numFmtId="166" fontId="67" fillId="25" borderId="1" xfId="58" applyNumberFormat="1" applyFont="1" applyFill="1" applyBorder="1" applyAlignment="1">
      <alignment horizontal="right" vertical="center" wrapText="1"/>
    </xf>
    <xf numFmtId="166" fontId="72" fillId="25" borderId="1" xfId="58" applyNumberFormat="1" applyFont="1" applyFill="1" applyBorder="1" applyAlignment="1">
      <alignment vertical="center"/>
    </xf>
    <xf numFmtId="0" fontId="76" fillId="25" borderId="1" xfId="0" applyFont="1" applyFill="1" applyBorder="1" applyAlignment="1">
      <alignment horizontal="right"/>
    </xf>
    <xf numFmtId="0" fontId="76" fillId="16" borderId="1" xfId="0" applyFont="1" applyFill="1" applyBorder="1" applyAlignment="1">
      <alignment horizontal="left"/>
    </xf>
    <xf numFmtId="0" fontId="77" fillId="0" borderId="1" xfId="0" applyFont="1" applyBorder="1"/>
    <xf numFmtId="1" fontId="77" fillId="0" borderId="1" xfId="58" applyNumberFormat="1" applyFont="1" applyBorder="1" applyAlignment="1">
      <alignment horizontal="right"/>
    </xf>
    <xf numFmtId="49" fontId="77" fillId="0" borderId="1" xfId="0" applyNumberFormat="1" applyFont="1" applyBorder="1"/>
    <xf numFmtId="49" fontId="77" fillId="0" borderId="1" xfId="0" applyNumberFormat="1" applyFont="1" applyFill="1" applyBorder="1"/>
    <xf numFmtId="1" fontId="78" fillId="0" borderId="1" xfId="59" applyNumberFormat="1" applyFont="1" applyFill="1" applyBorder="1" applyAlignment="1">
      <alignment horizontal="right" vertical="center"/>
    </xf>
    <xf numFmtId="0" fontId="0" fillId="0" borderId="0" xfId="0" applyAlignment="1"/>
    <xf numFmtId="0" fontId="26" fillId="0" borderId="1" xfId="0" applyFont="1" applyFill="1" applyBorder="1" applyAlignment="1">
      <alignment horizontal="left" vertical="center" wrapText="1"/>
    </xf>
    <xf numFmtId="0" fontId="64" fillId="0" borderId="0" xfId="0" applyFont="1" applyAlignment="1"/>
    <xf numFmtId="0" fontId="63" fillId="0" borderId="14" xfId="0" applyFont="1" applyBorder="1" applyAlignment="1">
      <alignment vertical="center"/>
    </xf>
    <xf numFmtId="166" fontId="63" fillId="0" borderId="1" xfId="58" applyNumberFormat="1" applyFont="1" applyBorder="1" applyAlignment="1">
      <alignment horizontal="left" vertical="center"/>
    </xf>
    <xf numFmtId="0" fontId="0" fillId="38" borderId="1" xfId="0" applyFill="1" applyBorder="1" applyAlignment="1">
      <alignment horizontal="right"/>
    </xf>
    <xf numFmtId="0" fontId="64" fillId="0" borderId="1" xfId="0" applyFont="1" applyBorder="1" applyAlignment="1">
      <alignment horizontal="left" vertical="center"/>
    </xf>
    <xf numFmtId="166" fontId="64" fillId="0" borderId="1" xfId="58" applyNumberFormat="1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166" fontId="26" fillId="0" borderId="1" xfId="58" applyNumberFormat="1" applyFont="1" applyFill="1" applyBorder="1" applyAlignment="1">
      <alignment horizontal="left" vertical="center" wrapText="1"/>
    </xf>
    <xf numFmtId="166" fontId="27" fillId="0" borderId="1" xfId="58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63" fillId="0" borderId="2" xfId="0" applyFont="1" applyBorder="1" applyAlignment="1">
      <alignment horizontal="left" vertical="top"/>
    </xf>
    <xf numFmtId="166" fontId="63" fillId="0" borderId="1" xfId="58" applyNumberFormat="1" applyFont="1" applyBorder="1" applyAlignment="1">
      <alignment horizontal="left"/>
    </xf>
    <xf numFmtId="166" fontId="64" fillId="0" borderId="1" xfId="58" applyNumberFormat="1" applyFont="1" applyBorder="1" applyAlignment="1">
      <alignment horizontal="left" vertical="top"/>
    </xf>
    <xf numFmtId="0" fontId="43" fillId="0" borderId="1" xfId="0" applyFont="1" applyFill="1" applyBorder="1" applyAlignment="1">
      <alignment horizontal="left" vertical="center" wrapText="1"/>
    </xf>
    <xf numFmtId="166" fontId="43" fillId="0" borderId="1" xfId="58" applyNumberFormat="1" applyFont="1" applyFill="1" applyBorder="1" applyAlignment="1">
      <alignment horizontal="left" vertical="center" wrapText="1"/>
    </xf>
    <xf numFmtId="166" fontId="44" fillId="0" borderId="1" xfId="58" applyNumberFormat="1" applyFont="1" applyFill="1" applyBorder="1" applyAlignment="1">
      <alignment horizontal="left" vertical="center" wrapText="1"/>
    </xf>
    <xf numFmtId="166" fontId="27" fillId="20" borderId="1" xfId="58" applyNumberFormat="1" applyFont="1" applyFill="1" applyBorder="1" applyAlignment="1">
      <alignment horizontal="left" vertical="center" wrapText="1"/>
    </xf>
    <xf numFmtId="166" fontId="53" fillId="0" borderId="0" xfId="58" applyNumberFormat="1" applyFont="1" applyFill="1" applyBorder="1" applyAlignment="1" applyProtection="1">
      <alignment vertical="center"/>
      <protection locked="0"/>
    </xf>
    <xf numFmtId="3" fontId="50" fillId="0" borderId="0" xfId="42" applyNumberFormat="1" applyFont="1" applyFill="1" applyBorder="1" applyAlignment="1" applyProtection="1">
      <alignment vertical="center"/>
      <protection locked="0"/>
    </xf>
    <xf numFmtId="166" fontId="68" fillId="20" borderId="1" xfId="58" applyNumberFormat="1" applyFont="1" applyFill="1" applyBorder="1" applyAlignment="1">
      <alignment vertical="center" wrapText="1"/>
    </xf>
    <xf numFmtId="166" fontId="71" fillId="20" borderId="1" xfId="58" applyNumberFormat="1" applyFont="1" applyFill="1" applyBorder="1" applyAlignment="1">
      <alignment vertical="center" wrapText="1"/>
    </xf>
    <xf numFmtId="166" fontId="62" fillId="0" borderId="0" xfId="58" applyNumberFormat="1" applyFont="1" applyFill="1" applyBorder="1" applyAlignment="1" applyProtection="1">
      <alignment vertical="center"/>
      <protection locked="0"/>
    </xf>
    <xf numFmtId="166" fontId="75" fillId="31" borderId="1" xfId="0" applyNumberFormat="1" applyFont="1" applyFill="1" applyBorder="1"/>
    <xf numFmtId="3" fontId="43" fillId="31" borderId="1" xfId="0" applyNumberFormat="1" applyFont="1" applyFill="1" applyBorder="1" applyAlignment="1" applyProtection="1">
      <alignment horizontal="left" vertical="center" readingOrder="1"/>
    </xf>
    <xf numFmtId="166" fontId="0" fillId="31" borderId="1" xfId="58" applyNumberFormat="1" applyFont="1" applyFill="1" applyBorder="1"/>
    <xf numFmtId="166" fontId="14" fillId="0" borderId="0" xfId="0" applyNumberFormat="1" applyFont="1" applyBorder="1"/>
    <xf numFmtId="49" fontId="19" fillId="39" borderId="0" xfId="0" applyNumberFormat="1" applyFont="1" applyFill="1" applyAlignment="1">
      <alignment vertical="center"/>
    </xf>
    <xf numFmtId="166" fontId="0" fillId="39" borderId="0" xfId="58" applyNumberFormat="1" applyFont="1" applyFill="1"/>
    <xf numFmtId="166" fontId="46" fillId="39" borderId="1" xfId="58" applyNumberFormat="1" applyFont="1" applyFill="1" applyBorder="1"/>
    <xf numFmtId="166" fontId="0" fillId="39" borderId="1" xfId="58" applyNumberFormat="1" applyFont="1" applyFill="1" applyBorder="1"/>
    <xf numFmtId="0" fontId="0" fillId="39" borderId="1" xfId="0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49" fontId="19" fillId="4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17" borderId="0" xfId="0" applyFont="1" applyFill="1" applyAlignment="1">
      <alignment vertical="center" wrapText="1"/>
    </xf>
    <xf numFmtId="0" fontId="24" fillId="19" borderId="0" xfId="0" applyFont="1" applyFill="1" applyAlignment="1">
      <alignment vertical="center" wrapText="1"/>
    </xf>
    <xf numFmtId="0" fontId="24" fillId="41" borderId="0" xfId="0" applyFont="1" applyFill="1" applyAlignment="1">
      <alignment vertical="center" wrapText="1"/>
    </xf>
    <xf numFmtId="0" fontId="24" fillId="42" borderId="0" xfId="0" applyFont="1" applyFill="1" applyAlignment="1">
      <alignment vertical="center" wrapText="1"/>
    </xf>
    <xf numFmtId="0" fontId="19" fillId="0" borderId="1" xfId="0" applyFont="1" applyBorder="1" applyAlignment="1">
      <alignment vertical="center"/>
    </xf>
    <xf numFmtId="0" fontId="84" fillId="0" borderId="1" xfId="37" applyFont="1" applyFill="1" applyBorder="1" applyAlignment="1">
      <alignment vertical="top"/>
    </xf>
    <xf numFmtId="164" fontId="22" fillId="0" borderId="1" xfId="0" applyNumberFormat="1" applyFont="1" applyBorder="1" applyAlignment="1">
      <alignment vertical="center"/>
    </xf>
    <xf numFmtId="0" fontId="65" fillId="0" borderId="1" xfId="37" applyFont="1" applyFill="1" applyBorder="1" applyAlignment="1">
      <alignment vertical="top"/>
    </xf>
    <xf numFmtId="164" fontId="47" fillId="0" borderId="1" xfId="0" applyNumberFormat="1" applyFont="1" applyBorder="1" applyAlignment="1">
      <alignment vertical="center"/>
    </xf>
    <xf numFmtId="0" fontId="24" fillId="43" borderId="0" xfId="0" applyFont="1" applyFill="1" applyAlignment="1">
      <alignment vertical="center" wrapText="1"/>
    </xf>
    <xf numFmtId="3" fontId="21" fillId="0" borderId="1" xfId="37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37" applyNumberFormat="1" applyFont="1" applyFill="1" applyBorder="1" applyAlignment="1" applyProtection="1">
      <alignment vertical="center" wrapText="1"/>
      <protection locked="0"/>
    </xf>
    <xf numFmtId="0" fontId="85" fillId="0" borderId="1" xfId="37" applyFont="1" applyFill="1" applyBorder="1" applyAlignment="1">
      <alignment horizontal="left" vertical="center" wrapText="1"/>
    </xf>
    <xf numFmtId="0" fontId="85" fillId="0" borderId="1" xfId="37" applyFont="1" applyFill="1" applyBorder="1" applyAlignment="1">
      <alignment vertical="center" wrapText="1"/>
    </xf>
    <xf numFmtId="0" fontId="86" fillId="0" borderId="1" xfId="37" applyFont="1" applyFill="1" applyBorder="1" applyAlignment="1">
      <alignment horizontal="right" vertical="center" wrapText="1"/>
    </xf>
    <xf numFmtId="0" fontId="86" fillId="0" borderId="1" xfId="37" applyFont="1" applyFill="1" applyBorder="1" applyAlignment="1">
      <alignment horizontal="left" vertical="center" wrapText="1"/>
    </xf>
    <xf numFmtId="0" fontId="86" fillId="20" borderId="1" xfId="37" applyFont="1" applyFill="1" applyBorder="1" applyAlignment="1">
      <alignment horizontal="left" vertical="center" wrapText="1"/>
    </xf>
    <xf numFmtId="0" fontId="21" fillId="0" borderId="1" xfId="37" applyFont="1" applyFill="1" applyBorder="1" applyAlignment="1">
      <alignment horizontal="left" vertical="center" wrapText="1"/>
    </xf>
    <xf numFmtId="2" fontId="21" fillId="0" borderId="1" xfId="37" applyNumberFormat="1" applyFont="1" applyFill="1" applyBorder="1" applyAlignment="1">
      <alignment horizontal="left" vertical="center" wrapText="1"/>
    </xf>
    <xf numFmtId="3" fontId="21" fillId="20" borderId="1" xfId="40" applyNumberFormat="1" applyFont="1" applyFill="1" applyBorder="1" applyAlignment="1">
      <alignment vertical="center" wrapText="1"/>
    </xf>
    <xf numFmtId="43" fontId="79" fillId="0" borderId="1" xfId="0" applyNumberFormat="1" applyFont="1" applyBorder="1" applyAlignment="1">
      <alignment vertical="center"/>
    </xf>
    <xf numFmtId="43" fontId="21" fillId="0" borderId="1" xfId="0" applyNumberFormat="1" applyFont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164" fontId="18" fillId="0" borderId="0" xfId="0" applyNumberFormat="1" applyFont="1"/>
    <xf numFmtId="164" fontId="34" fillId="0" borderId="0" xfId="0" applyNumberFormat="1" applyFont="1"/>
    <xf numFmtId="0" fontId="24" fillId="0" borderId="0" xfId="0" applyFont="1" applyFill="1" applyAlignment="1">
      <alignment vertical="center" wrapText="1"/>
    </xf>
    <xf numFmtId="164" fontId="24" fillId="0" borderId="0" xfId="0" applyNumberFormat="1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164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4" fontId="74" fillId="0" borderId="24" xfId="0" applyNumberFormat="1" applyFont="1" applyFill="1" applyBorder="1" applyAlignment="1">
      <alignment horizontal="center" vertical="center" wrapText="1"/>
    </xf>
    <xf numFmtId="4" fontId="126" fillId="0" borderId="24" xfId="0" applyNumberFormat="1" applyFont="1" applyFill="1" applyBorder="1" applyAlignment="1">
      <alignment horizontal="center" vertical="center" wrapText="1"/>
    </xf>
    <xf numFmtId="4" fontId="127" fillId="0" borderId="24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4" fontId="18" fillId="0" borderId="0" xfId="0" applyNumberFormat="1" applyFont="1" applyFill="1" applyAlignment="1">
      <alignment vertical="center"/>
    </xf>
    <xf numFmtId="0" fontId="39" fillId="0" borderId="0" xfId="0" applyFont="1" applyAlignment="1"/>
    <xf numFmtId="166" fontId="64" fillId="0" borderId="39" xfId="58" applyNumberFormat="1" applyFont="1" applyBorder="1" applyAlignment="1">
      <alignment horizontal="left" vertical="top"/>
    </xf>
    <xf numFmtId="166" fontId="27" fillId="0" borderId="39" xfId="58" applyNumberFormat="1" applyFont="1" applyFill="1" applyBorder="1" applyAlignment="1">
      <alignment horizontal="left" vertical="center" wrapText="1"/>
    </xf>
    <xf numFmtId="166" fontId="64" fillId="0" borderId="39" xfId="58" applyNumberFormat="1" applyFont="1" applyBorder="1" applyAlignment="1">
      <alignment horizontal="center" vertical="center"/>
    </xf>
    <xf numFmtId="166" fontId="77" fillId="0" borderId="39" xfId="58" applyNumberFormat="1" applyFont="1" applyBorder="1"/>
    <xf numFmtId="166" fontId="44" fillId="0" borderId="39" xfId="58" applyNumberFormat="1" applyFont="1" applyFill="1" applyBorder="1" applyAlignment="1">
      <alignment horizontal="left" vertical="center" wrapText="1"/>
    </xf>
    <xf numFmtId="0" fontId="0" fillId="0" borderId="39" xfId="0" applyBorder="1"/>
    <xf numFmtId="43" fontId="64" fillId="0" borderId="39" xfId="58" applyFont="1" applyBorder="1" applyAlignment="1">
      <alignment horizontal="right"/>
    </xf>
    <xf numFmtId="0" fontId="7" fillId="0" borderId="0" xfId="0" applyFont="1"/>
    <xf numFmtId="165" fontId="0" fillId="0" borderId="0" xfId="57" applyNumberFormat="1" applyFont="1"/>
    <xf numFmtId="0" fontId="4" fillId="0" borderId="0" xfId="667" applyAlignment="1">
      <alignment vertical="center"/>
    </xf>
    <xf numFmtId="0" fontId="131" fillId="0" borderId="39" xfId="667" applyFont="1" applyBorder="1" applyAlignment="1">
      <alignment horizontal="center" vertical="center"/>
    </xf>
    <xf numFmtId="0" fontId="131" fillId="19" borderId="39" xfId="667" applyFont="1" applyFill="1" applyBorder="1" applyAlignment="1">
      <alignment horizontal="left" vertical="center"/>
    </xf>
    <xf numFmtId="164" fontId="132" fillId="19" borderId="39" xfId="667" applyNumberFormat="1" applyFont="1" applyFill="1" applyBorder="1" applyAlignment="1">
      <alignment vertical="center"/>
    </xf>
    <xf numFmtId="192" fontId="4" fillId="0" borderId="0" xfId="667" applyNumberFormat="1" applyAlignment="1">
      <alignment vertical="center"/>
    </xf>
    <xf numFmtId="0" fontId="4" fillId="0" borderId="39" xfId="667" applyFont="1" applyFill="1" applyBorder="1" applyAlignment="1">
      <alignment horizontal="left" vertical="center"/>
    </xf>
    <xf numFmtId="164" fontId="133" fillId="0" borderId="39" xfId="667" applyNumberFormat="1" applyFont="1" applyFill="1" applyBorder="1" applyAlignment="1">
      <alignment vertical="center"/>
    </xf>
    <xf numFmtId="193" fontId="4" fillId="0" borderId="0" xfId="667" applyNumberFormat="1" applyAlignment="1">
      <alignment vertical="center"/>
    </xf>
    <xf numFmtId="164" fontId="4" fillId="0" borderId="0" xfId="667" applyNumberFormat="1" applyAlignment="1">
      <alignment vertical="center"/>
    </xf>
    <xf numFmtId="0" fontId="134" fillId="0" borderId="39" xfId="667" applyFont="1" applyFill="1" applyBorder="1" applyAlignment="1">
      <alignment horizontal="left" vertical="center"/>
    </xf>
    <xf numFmtId="164" fontId="135" fillId="0" borderId="39" xfId="667" applyNumberFormat="1" applyFont="1" applyFill="1" applyBorder="1" applyAlignment="1">
      <alignment vertical="center"/>
    </xf>
    <xf numFmtId="0" fontId="131" fillId="19" borderId="39" xfId="667" applyFont="1" applyFill="1" applyBorder="1" applyAlignment="1">
      <alignment horizontal="left" vertical="center" wrapText="1"/>
    </xf>
    <xf numFmtId="0" fontId="4" fillId="0" borderId="39" xfId="667" applyFont="1" applyFill="1" applyBorder="1" applyAlignment="1">
      <alignment horizontal="left" vertical="center" wrapText="1"/>
    </xf>
    <xf numFmtId="0" fontId="131" fillId="0" borderId="39" xfId="667" applyFont="1" applyFill="1" applyBorder="1" applyAlignment="1">
      <alignment horizontal="left" vertical="center"/>
    </xf>
    <xf numFmtId="164" fontId="132" fillId="0" borderId="39" xfId="667" applyNumberFormat="1" applyFont="1" applyFill="1" applyBorder="1" applyAlignment="1">
      <alignment vertical="center"/>
    </xf>
    <xf numFmtId="164" fontId="136" fillId="19" borderId="39" xfId="667" applyNumberFormat="1" applyFont="1" applyFill="1" applyBorder="1" applyAlignment="1">
      <alignment vertical="center"/>
    </xf>
    <xf numFmtId="172" fontId="4" fillId="0" borderId="0" xfId="667" applyNumberFormat="1" applyAlignment="1">
      <alignment vertical="center"/>
    </xf>
    <xf numFmtId="164" fontId="134" fillId="0" borderId="39" xfId="667" applyNumberFormat="1" applyFont="1" applyFill="1" applyBorder="1" applyAlignment="1">
      <alignment vertical="center"/>
    </xf>
    <xf numFmtId="0" fontId="4" fillId="0" borderId="0" xfId="667" applyBorder="1" applyAlignment="1">
      <alignment vertical="center"/>
    </xf>
    <xf numFmtId="164" fontId="4" fillId="0" borderId="0" xfId="667" applyNumberFormat="1" applyBorder="1" applyAlignment="1">
      <alignment vertical="center"/>
    </xf>
    <xf numFmtId="164" fontId="4" fillId="0" borderId="0" xfId="667" applyNumberFormat="1" applyFill="1" applyAlignment="1">
      <alignment vertical="center"/>
    </xf>
    <xf numFmtId="0" fontId="4" fillId="0" borderId="0" xfId="667" applyFont="1" applyFill="1" applyBorder="1" applyAlignment="1">
      <alignment horizontal="left" vertical="center"/>
    </xf>
    <xf numFmtId="169" fontId="4" fillId="0" borderId="0" xfId="667" applyNumberFormat="1" applyAlignment="1">
      <alignment vertical="center"/>
    </xf>
    <xf numFmtId="0" fontId="0" fillId="20" borderId="1" xfId="0" applyFill="1" applyBorder="1" applyAlignment="1">
      <alignment wrapText="1"/>
    </xf>
    <xf numFmtId="3" fontId="133" fillId="0" borderId="39" xfId="667" applyNumberFormat="1" applyFont="1" applyFill="1" applyBorder="1" applyAlignment="1">
      <alignment vertical="center"/>
    </xf>
    <xf numFmtId="164" fontId="133" fillId="20" borderId="39" xfId="667" applyNumberFormat="1" applyFont="1" applyFill="1" applyBorder="1" applyAlignment="1">
      <alignment vertical="center"/>
    </xf>
    <xf numFmtId="0" fontId="7" fillId="20" borderId="1" xfId="48" applyFont="1" applyFill="1" applyBorder="1" applyAlignment="1">
      <alignment horizontal="left" vertical="center" wrapText="1"/>
    </xf>
    <xf numFmtId="3" fontId="4" fillId="0" borderId="0" xfId="667" applyNumberFormat="1" applyAlignment="1">
      <alignment vertical="center"/>
    </xf>
    <xf numFmtId="4" fontId="4" fillId="0" borderId="0" xfId="667" applyNumberFormat="1" applyAlignment="1">
      <alignment vertical="center"/>
    </xf>
    <xf numFmtId="0" fontId="0" fillId="23" borderId="1" xfId="0" applyFill="1" applyBorder="1" applyAlignment="1">
      <alignment wrapText="1"/>
    </xf>
    <xf numFmtId="0" fontId="0" fillId="23" borderId="1" xfId="48" applyFont="1" applyFill="1" applyBorder="1" applyAlignment="1">
      <alignment horizontal="left" vertical="center" wrapText="1"/>
    </xf>
    <xf numFmtId="164" fontId="133" fillId="23" borderId="39" xfId="667" applyNumberFormat="1" applyFont="1" applyFill="1" applyBorder="1" applyAlignment="1">
      <alignment vertical="center"/>
    </xf>
    <xf numFmtId="164" fontId="132" fillId="23" borderId="39" xfId="667" applyNumberFormat="1" applyFont="1" applyFill="1" applyBorder="1" applyAlignment="1">
      <alignment vertical="center"/>
    </xf>
    <xf numFmtId="164" fontId="4" fillId="20" borderId="0" xfId="667" applyNumberFormat="1" applyFill="1" applyAlignment="1">
      <alignment vertical="center"/>
    </xf>
    <xf numFmtId="0" fontId="27" fillId="34" borderId="42" xfId="668" applyFont="1" applyFill="1" applyBorder="1" applyAlignment="1">
      <alignment vertical="center" wrapText="1"/>
    </xf>
    <xf numFmtId="0" fontId="27" fillId="34" borderId="44" xfId="668" applyFont="1" applyFill="1" applyBorder="1" applyAlignment="1">
      <alignment vertical="center" wrapText="1"/>
    </xf>
    <xf numFmtId="0" fontId="27" fillId="34" borderId="45" xfId="668" applyFont="1" applyFill="1" applyBorder="1" applyAlignment="1">
      <alignment vertical="center" wrapText="1"/>
    </xf>
    <xf numFmtId="4" fontId="18" fillId="34" borderId="1" xfId="66" applyNumberFormat="1" applyFont="1" applyFill="1" applyBorder="1" applyAlignment="1">
      <alignment horizontal="right" vertical="center" wrapText="1"/>
    </xf>
    <xf numFmtId="0" fontId="137" fillId="67" borderId="24" xfId="668" applyFont="1" applyFill="1" applyBorder="1" applyAlignment="1">
      <alignment horizontal="center" vertical="center"/>
    </xf>
    <xf numFmtId="0" fontId="138" fillId="67" borderId="24" xfId="668" applyFont="1" applyFill="1" applyBorder="1"/>
    <xf numFmtId="0" fontId="124" fillId="67" borderId="24" xfId="668" applyFont="1" applyFill="1" applyBorder="1" applyAlignment="1">
      <alignment horizontal="center" vertical="center"/>
    </xf>
    <xf numFmtId="194" fontId="124" fillId="67" borderId="43" xfId="669" applyFont="1" applyFill="1" applyBorder="1" applyAlignment="1">
      <alignment vertical="center" wrapText="1"/>
    </xf>
    <xf numFmtId="195" fontId="137" fillId="67" borderId="24" xfId="668" applyNumberFormat="1" applyFont="1" applyFill="1" applyBorder="1" applyAlignment="1">
      <alignment horizontal="center" vertical="center"/>
    </xf>
    <xf numFmtId="0" fontId="90" fillId="67" borderId="24" xfId="668" applyFill="1" applyBorder="1"/>
    <xf numFmtId="0" fontId="124" fillId="67" borderId="43" xfId="668" applyFont="1" applyFill="1" applyBorder="1" applyAlignment="1">
      <alignment wrapText="1"/>
    </xf>
    <xf numFmtId="194" fontId="124" fillId="67" borderId="43" xfId="669" applyFont="1" applyFill="1" applyBorder="1" applyAlignment="1">
      <alignment wrapText="1"/>
    </xf>
    <xf numFmtId="49" fontId="139" fillId="67" borderId="24" xfId="668" applyNumberFormat="1" applyFont="1" applyFill="1" applyBorder="1" applyAlignment="1">
      <alignment horizontal="center" vertical="center"/>
    </xf>
    <xf numFmtId="0" fontId="140" fillId="67" borderId="24" xfId="668" applyFont="1" applyFill="1" applyBorder="1"/>
    <xf numFmtId="0" fontId="138" fillId="67" borderId="46" xfId="668" applyFont="1" applyFill="1" applyBorder="1"/>
    <xf numFmtId="194" fontId="143" fillId="67" borderId="25" xfId="669" applyFont="1" applyFill="1" applyBorder="1" applyAlignment="1">
      <alignment wrapText="1"/>
    </xf>
    <xf numFmtId="0" fontId="124" fillId="67" borderId="25" xfId="668" applyFont="1" applyFill="1" applyBorder="1" applyAlignment="1">
      <alignment wrapText="1"/>
    </xf>
    <xf numFmtId="49" fontId="139" fillId="67" borderId="46" xfId="668" applyNumberFormat="1" applyFont="1" applyFill="1" applyBorder="1" applyAlignment="1">
      <alignment horizontal="center" vertical="center"/>
    </xf>
    <xf numFmtId="0" fontId="140" fillId="67" borderId="46" xfId="668" applyFont="1" applyFill="1" applyBorder="1"/>
    <xf numFmtId="0" fontId="137" fillId="67" borderId="25" xfId="668" applyFont="1" applyFill="1" applyBorder="1" applyAlignment="1">
      <alignment vertical="center" wrapText="1"/>
    </xf>
    <xf numFmtId="166" fontId="22" fillId="0" borderId="1" xfId="58" applyNumberFormat="1" applyFont="1" applyFill="1" applyBorder="1" applyAlignment="1">
      <alignment vertical="center" wrapText="1"/>
    </xf>
    <xf numFmtId="166" fontId="47" fillId="0" borderId="1" xfId="58" applyNumberFormat="1" applyFont="1" applyFill="1" applyBorder="1" applyAlignment="1">
      <alignment vertical="center" wrapText="1"/>
    </xf>
    <xf numFmtId="3" fontId="146" fillId="0" borderId="1" xfId="0" applyNumberFormat="1" applyFont="1" applyBorder="1" applyAlignment="1">
      <alignment horizontal="center" vertical="center"/>
    </xf>
    <xf numFmtId="166" fontId="44" fillId="0" borderId="1" xfId="58" applyNumberFormat="1" applyFont="1" applyFill="1" applyBorder="1" applyAlignment="1">
      <alignment vertical="center" wrapText="1"/>
    </xf>
    <xf numFmtId="0" fontId="147" fillId="0" borderId="1" xfId="65" applyFont="1" applyBorder="1"/>
    <xf numFmtId="0" fontId="47" fillId="0" borderId="13" xfId="67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3" fontId="148" fillId="0" borderId="1" xfId="0" applyNumberFormat="1" applyFont="1" applyBorder="1" applyAlignment="1">
      <alignment horizontal="center" vertical="center"/>
    </xf>
    <xf numFmtId="0" fontId="149" fillId="0" borderId="13" xfId="0" applyFont="1" applyBorder="1" applyAlignment="1">
      <alignment wrapText="1"/>
    </xf>
    <xf numFmtId="43" fontId="144" fillId="0" borderId="1" xfId="58" applyFont="1" applyFill="1" applyBorder="1" applyAlignment="1">
      <alignment horizontal="center" vertical="center" wrapText="1"/>
    </xf>
    <xf numFmtId="43" fontId="39" fillId="0" borderId="1" xfId="58" applyFont="1" applyFill="1" applyBorder="1" applyAlignment="1">
      <alignment horizontal="center" vertical="center" wrapText="1"/>
    </xf>
    <xf numFmtId="196" fontId="151" fillId="0" borderId="1" xfId="0" applyNumberFormat="1" applyFont="1" applyBorder="1" applyAlignment="1">
      <alignment horizontal="center" vertical="center"/>
    </xf>
    <xf numFmtId="196" fontId="151" fillId="0" borderId="1" xfId="0" applyNumberFormat="1" applyFont="1" applyBorder="1" applyAlignment="1">
      <alignment horizontal="center" vertical="center" wrapText="1"/>
    </xf>
    <xf numFmtId="196" fontId="152" fillId="0" borderId="1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wrapText="1"/>
    </xf>
    <xf numFmtId="0" fontId="77" fillId="0" borderId="7" xfId="0" applyFont="1" applyBorder="1" applyAlignment="1">
      <alignment wrapText="1"/>
    </xf>
    <xf numFmtId="165" fontId="141" fillId="0" borderId="1" xfId="0" applyNumberFormat="1" applyFont="1" applyFill="1" applyBorder="1" applyAlignment="1">
      <alignment horizontal="center" vertical="center"/>
    </xf>
    <xf numFmtId="197" fontId="141" fillId="0" borderId="1" xfId="0" applyNumberFormat="1" applyFont="1" applyFill="1" applyBorder="1" applyAlignment="1">
      <alignment horizontal="center" vertical="center"/>
    </xf>
    <xf numFmtId="164" fontId="64" fillId="34" borderId="1" xfId="47" applyNumberFormat="1" applyFont="1" applyFill="1" applyBorder="1" applyAlignment="1">
      <alignment horizontal="center" vertical="center"/>
    </xf>
    <xf numFmtId="0" fontId="30" fillId="34" borderId="1" xfId="70" applyFont="1" applyFill="1" applyBorder="1" applyAlignment="1">
      <alignment vertical="center" wrapText="1"/>
    </xf>
    <xf numFmtId="164" fontId="30" fillId="34" borderId="1" xfId="70" applyNumberFormat="1" applyFont="1" applyFill="1" applyBorder="1" applyAlignment="1">
      <alignment horizontal="center" vertical="center"/>
    </xf>
    <xf numFmtId="166" fontId="64" fillId="0" borderId="1" xfId="58" applyNumberFormat="1" applyFont="1" applyFill="1" applyBorder="1" applyAlignment="1">
      <alignment vertical="center" wrapText="1"/>
    </xf>
    <xf numFmtId="167" fontId="64" fillId="0" borderId="1" xfId="58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/>
    </xf>
    <xf numFmtId="164" fontId="141" fillId="0" borderId="1" xfId="0" applyNumberFormat="1" applyFont="1" applyBorder="1" applyAlignment="1">
      <alignment horizontal="center"/>
    </xf>
    <xf numFmtId="198" fontId="9" fillId="34" borderId="47" xfId="0" applyNumberFormat="1" applyFont="1" applyFill="1" applyBorder="1" applyAlignment="1">
      <alignment horizontal="center"/>
    </xf>
    <xf numFmtId="0" fontId="153" fillId="34" borderId="1" xfId="0" applyFont="1" applyFill="1" applyBorder="1" applyAlignment="1"/>
    <xf numFmtId="198" fontId="36" fillId="69" borderId="47" xfId="0" applyNumberFormat="1" applyFont="1" applyFill="1" applyBorder="1" applyAlignment="1">
      <alignment horizontal="center"/>
    </xf>
    <xf numFmtId="198" fontId="36" fillId="34" borderId="47" xfId="0" applyNumberFormat="1" applyFont="1" applyFill="1" applyBorder="1" applyAlignment="1">
      <alignment horizontal="center"/>
    </xf>
    <xf numFmtId="198" fontId="36" fillId="70" borderId="47" xfId="0" applyNumberFormat="1" applyFont="1" applyFill="1" applyBorder="1" applyAlignment="1">
      <alignment horizontal="center"/>
    </xf>
    <xf numFmtId="198" fontId="9" fillId="34" borderId="48" xfId="0" applyNumberFormat="1" applyFont="1" applyFill="1" applyBorder="1" applyAlignment="1">
      <alignment horizontal="center"/>
    </xf>
    <xf numFmtId="198" fontId="9" fillId="34" borderId="1" xfId="0" applyNumberFormat="1" applyFont="1" applyFill="1" applyBorder="1" applyAlignment="1">
      <alignment horizontal="center"/>
    </xf>
    <xf numFmtId="49" fontId="150" fillId="34" borderId="1" xfId="0" applyNumberFormat="1" applyFont="1" applyFill="1" applyBorder="1" applyAlignment="1">
      <alignment horizontal="center" vertical="center"/>
    </xf>
    <xf numFmtId="164" fontId="150" fillId="34" borderId="1" xfId="0" applyNumberFormat="1" applyFont="1" applyFill="1" applyBorder="1" applyAlignment="1">
      <alignment horizontal="right" vertical="center"/>
    </xf>
    <xf numFmtId="49" fontId="141" fillId="34" borderId="1" xfId="0" applyNumberFormat="1" applyFont="1" applyFill="1" applyBorder="1" applyAlignment="1">
      <alignment horizontal="center" vertical="center"/>
    </xf>
    <xf numFmtId="164" fontId="141" fillId="34" borderId="1" xfId="0" applyNumberFormat="1" applyFont="1" applyFill="1" applyBorder="1" applyAlignment="1">
      <alignment horizontal="right" vertical="center"/>
    </xf>
    <xf numFmtId="0" fontId="141" fillId="34" borderId="1" xfId="0" applyFont="1" applyFill="1" applyBorder="1" applyAlignment="1">
      <alignment horizontal="right"/>
    </xf>
    <xf numFmtId="164" fontId="141" fillId="34" borderId="1" xfId="0" applyNumberFormat="1" applyFont="1" applyFill="1" applyBorder="1" applyAlignment="1">
      <alignment horizontal="center" vertical="center"/>
    </xf>
    <xf numFmtId="43" fontId="144" fillId="0" borderId="3" xfId="58" applyFont="1" applyFill="1" applyBorder="1" applyAlignment="1">
      <alignment horizontal="center" vertical="center" wrapText="1"/>
    </xf>
    <xf numFmtId="0" fontId="39" fillId="0" borderId="3" xfId="58" applyNumberFormat="1" applyFont="1" applyFill="1" applyBorder="1" applyAlignment="1">
      <alignment horizontal="center" vertical="center" wrapText="1"/>
    </xf>
    <xf numFmtId="49" fontId="18" fillId="34" borderId="3" xfId="70" applyNumberFormat="1" applyFont="1" applyFill="1" applyBorder="1" applyAlignment="1">
      <alignment horizontal="center" vertical="center"/>
    </xf>
    <xf numFmtId="49" fontId="150" fillId="34" borderId="3" xfId="0" applyNumberFormat="1" applyFont="1" applyFill="1" applyBorder="1" applyAlignment="1">
      <alignment horizontal="center" vertical="center"/>
    </xf>
    <xf numFmtId="49" fontId="141" fillId="34" borderId="3" xfId="0" applyNumberFormat="1" applyFont="1" applyFill="1" applyBorder="1" applyAlignment="1">
      <alignment horizontal="center" vertical="center"/>
    </xf>
    <xf numFmtId="0" fontId="141" fillId="0" borderId="49" xfId="0" applyFont="1" applyBorder="1" applyAlignment="1">
      <alignment horizontal="left" vertical="center" wrapText="1"/>
    </xf>
    <xf numFmtId="0" fontId="27" fillId="34" borderId="13" xfId="668" applyFont="1" applyFill="1" applyBorder="1" applyAlignment="1">
      <alignment vertical="center" wrapText="1"/>
    </xf>
    <xf numFmtId="0" fontId="27" fillId="34" borderId="7" xfId="668" applyFont="1" applyFill="1" applyBorder="1" applyAlignment="1">
      <alignment vertical="center" wrapText="1"/>
    </xf>
    <xf numFmtId="43" fontId="43" fillId="0" borderId="7" xfId="58" applyFont="1" applyFill="1" applyBorder="1" applyAlignment="1">
      <alignment horizontal="left" vertical="center" wrapText="1"/>
    </xf>
    <xf numFmtId="43" fontId="44" fillId="0" borderId="7" xfId="58" applyFont="1" applyFill="1" applyBorder="1" applyAlignment="1">
      <alignment horizontal="left" vertical="center" wrapText="1"/>
    </xf>
    <xf numFmtId="0" fontId="145" fillId="0" borderId="7" xfId="0" applyFont="1" applyBorder="1" applyAlignment="1">
      <alignment vertical="top" wrapText="1"/>
    </xf>
    <xf numFmtId="0" fontId="44" fillId="0" borderId="7" xfId="0" applyFont="1" applyBorder="1" applyAlignment="1">
      <alignment wrapText="1"/>
    </xf>
    <xf numFmtId="0" fontId="44" fillId="68" borderId="7" xfId="670" applyFont="1" applyFill="1" applyBorder="1" applyAlignment="1">
      <alignment horizontal="left" wrapText="1"/>
    </xf>
    <xf numFmtId="0" fontId="44" fillId="0" borderId="7" xfId="0" applyFont="1" applyBorder="1" applyAlignment="1">
      <alignment horizontal="left" wrapText="1"/>
    </xf>
    <xf numFmtId="1" fontId="151" fillId="0" borderId="7" xfId="0" applyNumberFormat="1" applyFont="1" applyBorder="1" applyAlignment="1">
      <alignment vertical="center" wrapText="1"/>
    </xf>
    <xf numFmtId="1" fontId="152" fillId="0" borderId="7" xfId="0" applyNumberFormat="1" applyFont="1" applyBorder="1" applyAlignment="1">
      <alignment vertical="center" wrapText="1"/>
    </xf>
    <xf numFmtId="0" fontId="78" fillId="0" borderId="7" xfId="0" applyFont="1" applyFill="1" applyBorder="1" applyAlignment="1">
      <alignment vertical="center" wrapText="1"/>
    </xf>
    <xf numFmtId="0" fontId="78" fillId="0" borderId="7" xfId="0" applyFont="1" applyFill="1" applyBorder="1" applyAlignment="1">
      <alignment horizontal="left" vertical="top" wrapText="1"/>
    </xf>
    <xf numFmtId="0" fontId="141" fillId="0" borderId="13" xfId="0" applyFont="1" applyFill="1" applyBorder="1" applyAlignment="1">
      <alignment vertical="center" wrapText="1"/>
    </xf>
    <xf numFmtId="0" fontId="141" fillId="0" borderId="13" xfId="0" applyFont="1" applyFill="1" applyBorder="1" applyAlignment="1">
      <alignment vertical="center"/>
    </xf>
    <xf numFmtId="164" fontId="34" fillId="34" borderId="40" xfId="70" applyNumberFormat="1" applyFont="1" applyFill="1" applyBorder="1" applyAlignment="1">
      <alignment horizontal="center" vertical="center" wrapText="1"/>
    </xf>
    <xf numFmtId="0" fontId="34" fillId="34" borderId="7" xfId="70" applyFont="1" applyFill="1" applyBorder="1" applyAlignment="1">
      <alignment horizontal="center" vertical="center" wrapText="1"/>
    </xf>
    <xf numFmtId="0" fontId="18" fillId="34" borderId="7" xfId="70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left" vertical="center" wrapText="1"/>
    </xf>
    <xf numFmtId="49" fontId="64" fillId="0" borderId="7" xfId="0" applyNumberFormat="1" applyFont="1" applyFill="1" applyBorder="1" applyAlignment="1">
      <alignment horizontal="left" vertical="center" wrapText="1"/>
    </xf>
    <xf numFmtId="43" fontId="64" fillId="0" borderId="7" xfId="58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wrapText="1"/>
    </xf>
    <xf numFmtId="0" fontId="9" fillId="0" borderId="50" xfId="0" applyFont="1" applyFill="1" applyBorder="1" applyAlignment="1">
      <alignment vertical="center" wrapText="1"/>
    </xf>
    <xf numFmtId="0" fontId="36" fillId="0" borderId="5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1" fontId="150" fillId="34" borderId="7" xfId="0" applyNumberFormat="1" applyFont="1" applyFill="1" applyBorder="1" applyAlignment="1">
      <alignment vertical="top" wrapText="1"/>
    </xf>
    <xf numFmtId="1" fontId="141" fillId="34" borderId="7" xfId="0" applyNumberFormat="1" applyFont="1" applyFill="1" applyBorder="1" applyAlignment="1">
      <alignment vertical="top" wrapText="1"/>
    </xf>
    <xf numFmtId="1" fontId="141" fillId="34" borderId="13" xfId="0" applyNumberFormat="1" applyFont="1" applyFill="1" applyBorder="1" applyAlignment="1">
      <alignment vertical="top" wrapText="1"/>
    </xf>
    <xf numFmtId="0" fontId="18" fillId="0" borderId="8" xfId="0" applyFont="1" applyBorder="1" applyAlignment="1">
      <alignment horizontal="right" wrapText="1"/>
    </xf>
    <xf numFmtId="0" fontId="18" fillId="34" borderId="7" xfId="70" applyFont="1" applyFill="1" applyBorder="1" applyAlignment="1">
      <alignment horizontal="center" vertical="center" wrapText="1"/>
    </xf>
    <xf numFmtId="0" fontId="47" fillId="0" borderId="7" xfId="0" applyNumberFormat="1" applyFont="1" applyFill="1" applyBorder="1" applyAlignment="1">
      <alignment horizontal="left" vertical="top" wrapText="1"/>
    </xf>
    <xf numFmtId="164" fontId="47" fillId="0" borderId="1" xfId="0" applyNumberFormat="1" applyFont="1" applyFill="1" applyBorder="1" applyAlignment="1">
      <alignment vertical="center"/>
    </xf>
    <xf numFmtId="0" fontId="141" fillId="34" borderId="7" xfId="0" applyFont="1" applyFill="1" applyBorder="1" applyAlignment="1">
      <alignment horizontal="justify" vertical="center" wrapText="1"/>
    </xf>
    <xf numFmtId="3" fontId="18" fillId="34" borderId="1" xfId="66" applyNumberFormat="1" applyFont="1" applyFill="1" applyBorder="1" applyAlignment="1">
      <alignment horizontal="right" vertical="center" wrapText="1"/>
    </xf>
    <xf numFmtId="3" fontId="0" fillId="0" borderId="0" xfId="0" applyNumberFormat="1"/>
    <xf numFmtId="1" fontId="141" fillId="34" borderId="1" xfId="0" applyNumberFormat="1" applyFont="1" applyFill="1" applyBorder="1" applyAlignment="1">
      <alignment vertical="top" wrapText="1"/>
    </xf>
    <xf numFmtId="0" fontId="150" fillId="34" borderId="1" xfId="0" applyFont="1" applyFill="1" applyBorder="1" applyAlignment="1">
      <alignment horizontal="center"/>
    </xf>
    <xf numFmtId="0" fontId="150" fillId="34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154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8" fillId="0" borderId="2" xfId="671" applyFont="1" applyFill="1" applyBorder="1" applyAlignment="1">
      <alignment horizontal="center" vertical="center" wrapText="1"/>
    </xf>
    <xf numFmtId="0" fontId="18" fillId="0" borderId="6" xfId="67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3" fontId="34" fillId="0" borderId="6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8" fillId="20" borderId="2" xfId="0" applyFont="1" applyFill="1" applyBorder="1" applyAlignment="1">
      <alignment horizontal="center" vertical="center" wrapText="1"/>
    </xf>
    <xf numFmtId="0" fontId="18" fillId="20" borderId="6" xfId="0" applyFont="1" applyFill="1" applyBorder="1" applyAlignment="1">
      <alignment horizontal="left" vertical="center" wrapText="1"/>
    </xf>
    <xf numFmtId="3" fontId="18" fillId="20" borderId="6" xfId="0" applyNumberFormat="1" applyFont="1" applyFill="1" applyBorder="1" applyAlignment="1">
      <alignment horizontal="right" vertical="center"/>
    </xf>
    <xf numFmtId="0" fontId="158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49" fontId="34" fillId="0" borderId="2" xfId="0" applyNumberFormat="1" applyFont="1" applyBorder="1" applyAlignment="1">
      <alignment horizontal="right" vertical="center" wrapText="1"/>
    </xf>
    <xf numFmtId="49" fontId="18" fillId="0" borderId="2" xfId="0" applyNumberFormat="1" applyFont="1" applyBorder="1" applyAlignment="1">
      <alignment horizontal="right" vertical="center" wrapText="1"/>
    </xf>
    <xf numFmtId="49" fontId="18" fillId="20" borderId="2" xfId="0" applyNumberFormat="1" applyFont="1" applyFill="1" applyBorder="1" applyAlignment="1">
      <alignment horizontal="right" vertical="center" wrapText="1"/>
    </xf>
    <xf numFmtId="3" fontId="31" fillId="23" borderId="0" xfId="0" applyNumberFormat="1" applyFont="1" applyFill="1"/>
    <xf numFmtId="0" fontId="159" fillId="0" borderId="0" xfId="672" applyFont="1"/>
    <xf numFmtId="41" fontId="159" fillId="0" borderId="0" xfId="672" applyNumberFormat="1" applyFont="1"/>
    <xf numFmtId="170" fontId="159" fillId="27" borderId="1" xfId="672" applyNumberFormat="1" applyFont="1" applyFill="1" applyBorder="1"/>
    <xf numFmtId="170" fontId="3" fillId="0" borderId="1" xfId="672" applyNumberFormat="1" applyBorder="1"/>
    <xf numFmtId="168" fontId="129" fillId="0" borderId="1" xfId="664" applyNumberFormat="1" applyFont="1" applyBorder="1" applyAlignment="1">
      <alignment horizontal="right"/>
    </xf>
    <xf numFmtId="0" fontId="129" fillId="0" borderId="1" xfId="664" applyFont="1" applyFill="1" applyBorder="1" applyAlignment="1">
      <alignment horizontal="left" wrapText="1"/>
    </xf>
    <xf numFmtId="170" fontId="159" fillId="0" borderId="1" xfId="672" applyNumberFormat="1" applyFont="1" applyFill="1" applyBorder="1"/>
    <xf numFmtId="170" fontId="159" fillId="0" borderId="1" xfId="672" applyNumberFormat="1" applyFont="1" applyBorder="1"/>
    <xf numFmtId="0" fontId="160" fillId="0" borderId="1" xfId="664" applyFont="1" applyBorder="1" applyAlignment="1">
      <alignment wrapText="1"/>
    </xf>
    <xf numFmtId="41" fontId="159" fillId="0" borderId="7" xfId="672" applyNumberFormat="1" applyFont="1" applyBorder="1"/>
    <xf numFmtId="0" fontId="129" fillId="0" borderId="1" xfId="664" applyFont="1" applyBorder="1" applyAlignment="1">
      <alignment horizontal="center" vertical="center" wrapText="1"/>
    </xf>
    <xf numFmtId="0" fontId="129" fillId="0" borderId="0" xfId="664" applyFont="1" applyBorder="1" applyAlignment="1"/>
    <xf numFmtId="0" fontId="3" fillId="0" borderId="0" xfId="672" applyBorder="1"/>
    <xf numFmtId="0" fontId="161" fillId="0" borderId="0" xfId="664" applyFont="1" applyBorder="1" applyAlignment="1">
      <alignment vertical="center" wrapText="1"/>
    </xf>
    <xf numFmtId="3" fontId="159" fillId="0" borderId="1" xfId="672" applyNumberFormat="1" applyFont="1" applyBorder="1"/>
    <xf numFmtId="0" fontId="159" fillId="0" borderId="1" xfId="672" applyFont="1" applyBorder="1"/>
    <xf numFmtId="170" fontId="159" fillId="20" borderId="1" xfId="672" applyNumberFormat="1" applyFont="1" applyFill="1" applyBorder="1"/>
    <xf numFmtId="170" fontId="159" fillId="0" borderId="0" xfId="672" applyNumberFormat="1" applyFont="1"/>
    <xf numFmtId="199" fontId="159" fillId="0" borderId="1" xfId="672" applyNumberFormat="1" applyFont="1" applyBorder="1"/>
    <xf numFmtId="0" fontId="159" fillId="0" borderId="1" xfId="672" applyFont="1" applyBorder="1" applyAlignment="1">
      <alignment wrapText="1"/>
    </xf>
    <xf numFmtId="170" fontId="162" fillId="0" borderId="1" xfId="672" applyNumberFormat="1" applyFont="1" applyBorder="1" applyAlignment="1">
      <alignment horizontal="right" vertical="center" wrapText="1"/>
    </xf>
    <xf numFmtId="0" fontId="19" fillId="0" borderId="1" xfId="672" applyFont="1" applyBorder="1" applyAlignment="1">
      <alignment vertical="center" wrapText="1"/>
    </xf>
    <xf numFmtId="170" fontId="163" fillId="0" borderId="1" xfId="672" applyNumberFormat="1" applyFont="1" applyBorder="1" applyAlignment="1">
      <alignment horizontal="right" vertical="center" wrapText="1"/>
    </xf>
    <xf numFmtId="0" fontId="23" fillId="0" borderId="1" xfId="672" applyFont="1" applyBorder="1" applyAlignment="1">
      <alignment vertical="top" wrapText="1"/>
    </xf>
    <xf numFmtId="0" fontId="19" fillId="0" borderId="1" xfId="672" applyFont="1" applyBorder="1" applyAlignment="1">
      <alignment vertical="top" wrapText="1"/>
    </xf>
    <xf numFmtId="164" fontId="19" fillId="0" borderId="1" xfId="0" applyNumberFormat="1" applyFont="1" applyBorder="1" applyAlignment="1">
      <alignment vertical="center"/>
    </xf>
    <xf numFmtId="164" fontId="0" fillId="0" borderId="1" xfId="0" applyNumberFormat="1" applyBorder="1"/>
    <xf numFmtId="0" fontId="164" fillId="0" borderId="0" xfId="674" applyAlignment="1">
      <alignment wrapText="1"/>
    </xf>
    <xf numFmtId="0" fontId="164" fillId="0" borderId="0" xfId="674"/>
    <xf numFmtId="0" fontId="168" fillId="0" borderId="0" xfId="674" applyFont="1" applyBorder="1" applyAlignment="1">
      <alignment horizontal="left" wrapText="1"/>
    </xf>
    <xf numFmtId="0" fontId="168" fillId="0" borderId="0" xfId="674" applyFont="1" applyBorder="1" applyAlignment="1">
      <alignment horizontal="right" wrapText="1"/>
    </xf>
    <xf numFmtId="0" fontId="167" fillId="0" borderId="1" xfId="674" applyFont="1" applyBorder="1" applyAlignment="1">
      <alignment horizontal="center" vertical="center" wrapText="1"/>
    </xf>
    <xf numFmtId="0" fontId="170" fillId="0" borderId="0" xfId="674" applyFont="1" applyBorder="1" applyAlignment="1">
      <alignment horizontal="left" wrapText="1"/>
    </xf>
    <xf numFmtId="200" fontId="168" fillId="0" borderId="0" xfId="674" applyNumberFormat="1" applyFont="1" applyBorder="1" applyAlignment="1">
      <alignment horizontal="right" wrapText="1"/>
    </xf>
    <xf numFmtId="0" fontId="164" fillId="0" borderId="51" xfId="674" applyBorder="1"/>
    <xf numFmtId="200" fontId="168" fillId="31" borderId="0" xfId="674" applyNumberFormat="1" applyFont="1" applyFill="1" applyBorder="1" applyAlignment="1">
      <alignment horizontal="right" wrapText="1"/>
    </xf>
    <xf numFmtId="200" fontId="168" fillId="0" borderId="0" xfId="674" applyNumberFormat="1" applyFont="1" applyFill="1" applyBorder="1" applyAlignment="1">
      <alignment horizontal="right" wrapText="1"/>
    </xf>
    <xf numFmtId="164" fontId="21" fillId="0" borderId="0" xfId="0" applyNumberFormat="1" applyFont="1" applyAlignment="1">
      <alignment horizontal="center" vertical="center"/>
    </xf>
    <xf numFmtId="0" fontId="0" fillId="0" borderId="0" xfId="58" applyNumberFormat="1" applyFont="1" applyAlignment="1">
      <alignment horizontal="center"/>
    </xf>
    <xf numFmtId="0" fontId="10" fillId="0" borderId="0" xfId="0" applyFont="1"/>
    <xf numFmtId="164" fontId="0" fillId="0" borderId="0" xfId="0" applyNumberFormat="1" applyBorder="1"/>
    <xf numFmtId="3" fontId="133" fillId="0" borderId="0" xfId="667" applyNumberFormat="1" applyFont="1" applyFill="1" applyBorder="1" applyAlignment="1">
      <alignment vertical="center"/>
    </xf>
    <xf numFmtId="164" fontId="74" fillId="0" borderId="0" xfId="0" applyNumberFormat="1" applyFont="1" applyFill="1" applyBorder="1" applyAlignment="1">
      <alignment vertical="center" wrapText="1"/>
    </xf>
    <xf numFmtId="0" fontId="18" fillId="0" borderId="39" xfId="0" applyFont="1" applyFill="1" applyBorder="1" applyAlignment="1">
      <alignment wrapText="1"/>
    </xf>
    <xf numFmtId="166" fontId="47" fillId="0" borderId="39" xfId="0" applyNumberFormat="1" applyFont="1" applyFill="1" applyBorder="1"/>
    <xf numFmtId="166" fontId="19" fillId="0" borderId="0" xfId="0" applyNumberFormat="1" applyFont="1" applyAlignment="1">
      <alignment vertical="center"/>
    </xf>
    <xf numFmtId="9" fontId="11" fillId="0" borderId="0" xfId="57" applyFont="1" applyBorder="1" applyAlignment="1">
      <alignment vertical="center"/>
    </xf>
    <xf numFmtId="166" fontId="80" fillId="0" borderId="0" xfId="58" applyNumberFormat="1" applyFont="1" applyFill="1" applyBorder="1" applyAlignment="1">
      <alignment horizontal="right" vertical="center" wrapText="1"/>
    </xf>
    <xf numFmtId="201" fontId="80" fillId="0" borderId="0" xfId="57" applyNumberFormat="1" applyFont="1" applyFill="1" applyBorder="1" applyAlignment="1">
      <alignment horizontal="right" vertical="center" wrapText="1"/>
    </xf>
    <xf numFmtId="2" fontId="57" fillId="0" borderId="0" xfId="42" applyNumberFormat="1" applyFont="1" applyFill="1" applyBorder="1" applyAlignment="1" applyProtection="1">
      <alignment vertical="center"/>
      <protection locked="0"/>
    </xf>
    <xf numFmtId="201" fontId="57" fillId="0" borderId="0" xfId="57" applyNumberFormat="1" applyFont="1" applyFill="1" applyBorder="1" applyAlignment="1" applyProtection="1">
      <alignment vertical="center"/>
      <protection locked="0"/>
    </xf>
    <xf numFmtId="166" fontId="61" fillId="0" borderId="0" xfId="58" applyNumberFormat="1" applyFont="1" applyFill="1" applyBorder="1" applyAlignment="1" applyProtection="1">
      <alignment horizontal="right" vertical="center" wrapText="1"/>
      <protection locked="0"/>
    </xf>
    <xf numFmtId="166" fontId="51" fillId="18" borderId="39" xfId="58" applyNumberFormat="1" applyFont="1" applyFill="1" applyBorder="1" applyAlignment="1">
      <alignment horizontal="left" vertical="center" wrapText="1"/>
    </xf>
    <xf numFmtId="166" fontId="58" fillId="17" borderId="39" xfId="58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vertical="center"/>
    </xf>
    <xf numFmtId="0" fontId="175" fillId="34" borderId="0" xfId="0" applyFont="1" applyFill="1" applyBorder="1" applyAlignment="1">
      <alignment vertical="center"/>
    </xf>
    <xf numFmtId="0" fontId="176" fillId="34" borderId="0" xfId="0" applyFont="1" applyFill="1" applyBorder="1" applyAlignment="1">
      <alignment vertical="center"/>
    </xf>
    <xf numFmtId="0" fontId="175" fillId="34" borderId="0" xfId="0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166" fontId="81" fillId="34" borderId="0" xfId="0" applyNumberFormat="1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81" fillId="34" borderId="0" xfId="0" applyFont="1" applyFill="1" applyBorder="1" applyAlignment="1">
      <alignment vertical="center"/>
    </xf>
    <xf numFmtId="166" fontId="51" fillId="34" borderId="1" xfId="58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/>
    </xf>
    <xf numFmtId="171" fontId="11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66" fontId="51" fillId="34" borderId="39" xfId="58" applyNumberFormat="1" applyFont="1" applyFill="1" applyBorder="1" applyAlignment="1">
      <alignment horizontal="left" vertical="center" wrapText="1"/>
    </xf>
    <xf numFmtId="166" fontId="52" fillId="30" borderId="1" xfId="58" applyNumberFormat="1" applyFont="1" applyFill="1" applyBorder="1" applyAlignment="1">
      <alignment horizontal="left" vertical="center" wrapText="1"/>
    </xf>
    <xf numFmtId="166" fontId="52" fillId="30" borderId="39" xfId="58" applyNumberFormat="1" applyFont="1" applyFill="1" applyBorder="1" applyAlignment="1">
      <alignment horizontal="left" vertical="center" wrapText="1"/>
    </xf>
    <xf numFmtId="166" fontId="172" fillId="17" borderId="1" xfId="58" applyNumberFormat="1" applyFont="1" applyFill="1" applyBorder="1" applyAlignment="1">
      <alignment horizontal="right" vertical="center" wrapText="1"/>
    </xf>
    <xf numFmtId="166" fontId="172" fillId="17" borderId="39" xfId="58" applyNumberFormat="1" applyFont="1" applyFill="1" applyBorder="1" applyAlignment="1">
      <alignment horizontal="right" vertical="center" wrapText="1"/>
    </xf>
    <xf numFmtId="3" fontId="59" fillId="34" borderId="1" xfId="40" applyNumberFormat="1" applyFont="1" applyFill="1" applyBorder="1" applyAlignment="1" applyProtection="1">
      <alignment horizontal="center" vertical="center"/>
      <protection locked="0"/>
    </xf>
    <xf numFmtId="3" fontId="59" fillId="34" borderId="1" xfId="40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/>
    <xf numFmtId="0" fontId="11" fillId="34" borderId="0" xfId="0" applyFont="1" applyFill="1"/>
    <xf numFmtId="0" fontId="13" fillId="34" borderId="0" xfId="0" applyFont="1" applyFill="1" applyBorder="1"/>
    <xf numFmtId="0" fontId="13" fillId="34" borderId="0" xfId="0" applyFont="1" applyFill="1"/>
    <xf numFmtId="166" fontId="14" fillId="34" borderId="0" xfId="0" applyNumberFormat="1" applyFont="1" applyFill="1" applyBorder="1" applyAlignment="1">
      <alignment vertical="center"/>
    </xf>
    <xf numFmtId="166" fontId="14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/>
    <xf numFmtId="0" fontId="0" fillId="34" borderId="0" xfId="0" applyFill="1"/>
    <xf numFmtId="0" fontId="0" fillId="34" borderId="0" xfId="0" applyFont="1" applyFill="1" applyBorder="1"/>
    <xf numFmtId="0" fontId="0" fillId="34" borderId="0" xfId="0" applyFont="1" applyFill="1"/>
    <xf numFmtId="0" fontId="0" fillId="34" borderId="1" xfId="0" applyFill="1" applyBorder="1"/>
    <xf numFmtId="166" fontId="182" fillId="34" borderId="1" xfId="62" applyNumberFormat="1" applyFont="1" applyFill="1" applyBorder="1" applyAlignment="1">
      <alignment horizontal="left" vertical="center" wrapText="1"/>
    </xf>
    <xf numFmtId="166" fontId="182" fillId="18" borderId="1" xfId="62" applyNumberFormat="1" applyFont="1" applyFill="1" applyBorder="1" applyAlignment="1">
      <alignment horizontal="left" vertical="center" wrapText="1"/>
    </xf>
    <xf numFmtId="166" fontId="182" fillId="18" borderId="39" xfId="58" applyNumberFormat="1" applyFont="1" applyFill="1" applyBorder="1" applyAlignment="1">
      <alignment horizontal="left" vertical="center" wrapText="1"/>
    </xf>
    <xf numFmtId="166" fontId="182" fillId="34" borderId="39" xfId="58" applyNumberFormat="1" applyFont="1" applyFill="1" applyBorder="1" applyAlignment="1">
      <alignment horizontal="left" vertical="center" wrapText="1"/>
    </xf>
    <xf numFmtId="166" fontId="51" fillId="18" borderId="1" xfId="58" applyNumberFormat="1" applyFont="1" applyFill="1" applyBorder="1" applyAlignment="1">
      <alignment horizontal="center" vertical="center" wrapText="1"/>
    </xf>
    <xf numFmtId="166" fontId="51" fillId="18" borderId="39" xfId="58" applyNumberFormat="1" applyFont="1" applyFill="1" applyBorder="1" applyAlignment="1">
      <alignment horizontal="center" vertical="center" wrapText="1"/>
    </xf>
    <xf numFmtId="166" fontId="51" fillId="34" borderId="1" xfId="58" applyNumberFormat="1" applyFont="1" applyFill="1" applyBorder="1" applyAlignment="1">
      <alignment horizontal="right" vertical="center" wrapText="1"/>
    </xf>
    <xf numFmtId="166" fontId="51" fillId="34" borderId="39" xfId="58" applyNumberFormat="1" applyFont="1" applyFill="1" applyBorder="1" applyAlignment="1">
      <alignment horizontal="right" vertical="center" wrapText="1"/>
    </xf>
    <xf numFmtId="166" fontId="173" fillId="30" borderId="39" xfId="37" applyNumberFormat="1" applyFont="1" applyFill="1" applyBorder="1" applyAlignment="1">
      <alignment horizontal="right" vertical="center" wrapText="1"/>
    </xf>
    <xf numFmtId="166" fontId="174" fillId="30" borderId="39" xfId="37" applyNumberFormat="1" applyFont="1" applyFill="1" applyBorder="1" applyAlignment="1">
      <alignment horizontal="right" vertical="center" wrapText="1"/>
    </xf>
    <xf numFmtId="166" fontId="82" fillId="17" borderId="1" xfId="62" applyNumberFormat="1" applyFont="1" applyFill="1" applyBorder="1" applyAlignment="1">
      <alignment horizontal="left" vertical="center" wrapText="1"/>
    </xf>
    <xf numFmtId="166" fontId="182" fillId="18" borderId="1" xfId="58" applyNumberFormat="1" applyFont="1" applyFill="1" applyBorder="1" applyAlignment="1">
      <alignment horizontal="left" vertical="center" wrapText="1"/>
    </xf>
    <xf numFmtId="166" fontId="171" fillId="18" borderId="39" xfId="58" applyNumberFormat="1" applyFont="1" applyFill="1" applyBorder="1" applyAlignment="1">
      <alignment horizontal="right" vertical="center" wrapText="1"/>
    </xf>
    <xf numFmtId="166" fontId="184" fillId="0" borderId="0" xfId="42" applyNumberFormat="1" applyFont="1" applyFill="1" applyBorder="1" applyAlignment="1" applyProtection="1">
      <alignment vertical="center"/>
      <protection locked="0"/>
    </xf>
    <xf numFmtId="0" fontId="184" fillId="0" borderId="0" xfId="42" applyFont="1" applyFill="1" applyBorder="1" applyAlignment="1" applyProtection="1">
      <alignment vertical="center"/>
      <protection locked="0"/>
    </xf>
    <xf numFmtId="0" fontId="181" fillId="0" borderId="0" xfId="42" applyFont="1" applyFill="1" applyBorder="1" applyAlignment="1" applyProtection="1">
      <alignment vertical="center"/>
      <protection locked="0"/>
    </xf>
    <xf numFmtId="166" fontId="182" fillId="34" borderId="1" xfId="62" applyNumberFormat="1" applyFont="1" applyFill="1" applyBorder="1" applyAlignment="1">
      <alignment horizontal="right" vertical="center" wrapText="1"/>
    </xf>
    <xf numFmtId="166" fontId="182" fillId="34" borderId="39" xfId="58" applyNumberFormat="1" applyFont="1" applyFill="1" applyBorder="1" applyAlignment="1">
      <alignment horizontal="right" vertical="center" wrapText="1"/>
    </xf>
    <xf numFmtId="166" fontId="182" fillId="34" borderId="39" xfId="62" applyNumberFormat="1" applyFont="1" applyFill="1" applyBorder="1" applyAlignment="1">
      <alignment horizontal="right" vertical="center" wrapText="1"/>
    </xf>
    <xf numFmtId="166" fontId="182" fillId="18" borderId="1" xfId="62" applyNumberFormat="1" applyFont="1" applyFill="1" applyBorder="1" applyAlignment="1">
      <alignment horizontal="center" vertical="center" wrapText="1"/>
    </xf>
    <xf numFmtId="166" fontId="182" fillId="18" borderId="39" xfId="62" applyNumberFormat="1" applyFont="1" applyFill="1" applyBorder="1" applyAlignment="1">
      <alignment horizontal="center" vertical="center" wrapText="1"/>
    </xf>
    <xf numFmtId="166" fontId="182" fillId="18" borderId="39" xfId="58" applyNumberFormat="1" applyFont="1" applyFill="1" applyBorder="1" applyAlignment="1">
      <alignment horizontal="center" vertical="center" wrapText="1"/>
    </xf>
    <xf numFmtId="166" fontId="182" fillId="18" borderId="1" xfId="58" applyNumberFormat="1" applyFont="1" applyFill="1" applyBorder="1" applyAlignment="1">
      <alignment horizontal="center" vertical="center" wrapText="1"/>
    </xf>
    <xf numFmtId="166" fontId="185" fillId="30" borderId="39" xfId="37" applyNumberFormat="1" applyFont="1" applyFill="1" applyBorder="1" applyAlignment="1">
      <alignment horizontal="right" vertical="center" wrapText="1"/>
    </xf>
    <xf numFmtId="166" fontId="183" fillId="30" borderId="39" xfId="37" applyNumberFormat="1" applyFont="1" applyFill="1" applyBorder="1" applyAlignment="1">
      <alignment horizontal="right" vertical="center" wrapText="1"/>
    </xf>
    <xf numFmtId="0" fontId="82" fillId="17" borderId="39" xfId="41" applyFont="1" applyFill="1" applyBorder="1" applyAlignment="1">
      <alignment horizontal="left" vertical="center" wrapText="1"/>
    </xf>
    <xf numFmtId="0" fontId="82" fillId="17" borderId="52" xfId="41" applyFont="1" applyFill="1" applyBorder="1" applyAlignment="1">
      <alignment horizontal="left" vertical="center" wrapText="1"/>
    </xf>
    <xf numFmtId="0" fontId="58" fillId="17" borderId="1" xfId="37" applyFont="1" applyFill="1" applyBorder="1" applyAlignment="1">
      <alignment horizontal="left" vertical="center" wrapText="1"/>
    </xf>
    <xf numFmtId="166" fontId="177" fillId="18" borderId="39" xfId="58" applyNumberFormat="1" applyFont="1" applyFill="1" applyBorder="1" applyAlignment="1">
      <alignment horizontal="right" vertical="center" wrapText="1"/>
    </xf>
    <xf numFmtId="0" fontId="51" fillId="18" borderId="39" xfId="37" applyFont="1" applyFill="1" applyBorder="1" applyAlignment="1">
      <alignment vertical="center" wrapText="1"/>
    </xf>
    <xf numFmtId="0" fontId="182" fillId="34" borderId="39" xfId="37" applyFont="1" applyFill="1" applyBorder="1" applyAlignment="1">
      <alignment vertical="center" wrapText="1"/>
    </xf>
    <xf numFmtId="166" fontId="178" fillId="17" borderId="39" xfId="58" applyNumberFormat="1" applyFont="1" applyFill="1" applyBorder="1" applyAlignment="1">
      <alignment horizontal="right" vertical="center" wrapText="1"/>
    </xf>
    <xf numFmtId="3" fontId="55" fillId="0" borderId="39" xfId="40" applyNumberFormat="1" applyFont="1" applyFill="1" applyBorder="1" applyAlignment="1" applyProtection="1">
      <alignment horizontal="center" vertical="center" wrapText="1"/>
      <protection locked="0"/>
    </xf>
    <xf numFmtId="0" fontId="82" fillId="17" borderId="39" xfId="37" applyFont="1" applyFill="1" applyBorder="1" applyAlignment="1">
      <alignment vertical="center" wrapText="1"/>
    </xf>
    <xf numFmtId="0" fontId="182" fillId="34" borderId="39" xfId="37" applyFont="1" applyFill="1" applyBorder="1" applyAlignment="1">
      <alignment horizontal="left" vertical="center" wrapText="1"/>
    </xf>
    <xf numFmtId="0" fontId="182" fillId="18" borderId="39" xfId="37" applyFont="1" applyFill="1" applyBorder="1" applyAlignment="1">
      <alignment vertical="center" wrapText="1"/>
    </xf>
    <xf numFmtId="3" fontId="188" fillId="17" borderId="39" xfId="40" applyNumberFormat="1" applyFont="1" applyFill="1" applyBorder="1" applyAlignment="1" applyProtection="1">
      <alignment horizontal="left" vertical="center" wrapText="1"/>
      <protection locked="0"/>
    </xf>
    <xf numFmtId="3" fontId="181" fillId="17" borderId="39" xfId="40" applyNumberFormat="1" applyFont="1" applyFill="1" applyBorder="1" applyAlignment="1">
      <alignment vertical="center" wrapText="1"/>
    </xf>
    <xf numFmtId="2" fontId="82" fillId="17" borderId="39" xfId="37" applyNumberFormat="1" applyFont="1" applyFill="1" applyBorder="1" applyAlignment="1">
      <alignment vertical="center" wrapText="1"/>
    </xf>
    <xf numFmtId="166" fontId="186" fillId="17" borderId="39" xfId="58" applyNumberFormat="1" applyFont="1" applyFill="1" applyBorder="1" applyAlignment="1">
      <alignment horizontal="right" vertical="center" wrapText="1"/>
    </xf>
    <xf numFmtId="3" fontId="59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81" fillId="0" borderId="39" xfId="37" applyNumberFormat="1" applyFont="1" applyFill="1" applyBorder="1" applyAlignment="1" applyProtection="1">
      <alignment horizontal="center" vertical="center" wrapText="1"/>
      <protection locked="0"/>
    </xf>
    <xf numFmtId="3" fontId="181" fillId="0" borderId="1" xfId="37" applyNumberFormat="1" applyFont="1" applyFill="1" applyBorder="1" applyAlignment="1" applyProtection="1">
      <alignment horizontal="center" vertical="center" wrapText="1"/>
      <protection locked="0"/>
    </xf>
    <xf numFmtId="3" fontId="181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81" fillId="34" borderId="1" xfId="40" applyNumberFormat="1" applyFont="1" applyFill="1" applyBorder="1" applyAlignment="1" applyProtection="1">
      <alignment horizontal="center" vertical="center" wrapText="1"/>
      <protection locked="0"/>
    </xf>
    <xf numFmtId="0" fontId="53" fillId="34" borderId="1" xfId="37" applyFont="1" applyFill="1" applyBorder="1" applyAlignment="1">
      <alignment horizontal="left" vertical="center" wrapText="1"/>
    </xf>
    <xf numFmtId="0" fontId="53" fillId="34" borderId="39" xfId="37" applyFont="1" applyFill="1" applyBorder="1" applyAlignment="1">
      <alignment horizontal="left" vertical="center" wrapText="1"/>
    </xf>
    <xf numFmtId="166" fontId="189" fillId="17" borderId="39" xfId="58" applyNumberFormat="1" applyFont="1" applyFill="1" applyBorder="1" applyAlignment="1">
      <alignment horizontal="right" vertical="center" wrapText="1"/>
    </xf>
    <xf numFmtId="166" fontId="190" fillId="18" borderId="39" xfId="58" applyNumberFormat="1" applyFont="1" applyFill="1" applyBorder="1" applyAlignment="1">
      <alignment horizontal="right" vertical="center" wrapText="1"/>
    </xf>
    <xf numFmtId="166" fontId="191" fillId="17" borderId="39" xfId="58" applyNumberFormat="1" applyFont="1" applyFill="1" applyBorder="1" applyAlignment="1">
      <alignment horizontal="right" vertical="center" wrapText="1"/>
    </xf>
    <xf numFmtId="166" fontId="189" fillId="17" borderId="39" xfId="58" applyNumberFormat="1" applyFont="1" applyFill="1" applyBorder="1" applyAlignment="1" applyProtection="1">
      <alignment horizontal="right" vertical="center" wrapText="1"/>
      <protection locked="0"/>
    </xf>
    <xf numFmtId="166" fontId="192" fillId="18" borderId="39" xfId="58" applyNumberFormat="1" applyFont="1" applyFill="1" applyBorder="1" applyAlignment="1" applyProtection="1">
      <alignment horizontal="right" vertical="center" wrapText="1"/>
      <protection locked="0"/>
    </xf>
    <xf numFmtId="0" fontId="182" fillId="18" borderId="39" xfId="37" applyFont="1" applyFill="1" applyBorder="1" applyAlignment="1">
      <alignment horizontal="center" vertical="center" wrapText="1"/>
    </xf>
    <xf numFmtId="3" fontId="187" fillId="18" borderId="39" xfId="40" applyNumberFormat="1" applyFont="1" applyFill="1" applyBorder="1" applyAlignment="1" applyProtection="1">
      <alignment horizontal="center" vertical="center" wrapText="1"/>
      <protection locked="0"/>
    </xf>
    <xf numFmtId="3" fontId="180" fillId="18" borderId="39" xfId="40" applyNumberFormat="1" applyFont="1" applyFill="1" applyBorder="1" applyAlignment="1">
      <alignment horizontal="center" vertical="center" wrapText="1"/>
    </xf>
    <xf numFmtId="0" fontId="181" fillId="0" borderId="1" xfId="37" applyFont="1" applyFill="1" applyBorder="1" applyAlignment="1">
      <alignment horizontal="center" vertical="center" wrapText="1"/>
    </xf>
    <xf numFmtId="3" fontId="53" fillId="0" borderId="1" xfId="37" applyNumberFormat="1" applyFont="1" applyFill="1" applyBorder="1" applyAlignment="1" applyProtection="1">
      <alignment horizontal="left" vertical="center" wrapText="1"/>
      <protection locked="0"/>
    </xf>
    <xf numFmtId="3" fontId="53" fillId="0" borderId="39" xfId="37" applyNumberFormat="1" applyFont="1" applyFill="1" applyBorder="1" applyAlignment="1" applyProtection="1">
      <alignment horizontal="left" vertical="center" wrapText="1"/>
      <protection locked="0"/>
    </xf>
    <xf numFmtId="0" fontId="182" fillId="0" borderId="2" xfId="37" applyFont="1" applyFill="1" applyBorder="1" applyAlignment="1">
      <alignment horizontal="left" vertical="center" wrapText="1"/>
    </xf>
    <xf numFmtId="2" fontId="182" fillId="0" borderId="2" xfId="37" applyNumberFormat="1" applyFont="1" applyFill="1" applyBorder="1" applyAlignment="1">
      <alignment horizontal="left" vertical="center" wrapText="1"/>
    </xf>
    <xf numFmtId="2" fontId="182" fillId="0" borderId="18" xfId="37" applyNumberFormat="1" applyFont="1" applyFill="1" applyBorder="1" applyAlignment="1">
      <alignment horizontal="left" vertical="center" wrapText="1"/>
    </xf>
    <xf numFmtId="0" fontId="59" fillId="17" borderId="1" xfId="37" applyFont="1" applyFill="1" applyBorder="1" applyAlignment="1">
      <alignment vertical="center" wrapText="1"/>
    </xf>
    <xf numFmtId="0" fontId="53" fillId="18" borderId="1" xfId="37" applyFont="1" applyFill="1" applyBorder="1" applyAlignment="1">
      <alignment vertical="center" wrapText="1"/>
    </xf>
    <xf numFmtId="0" fontId="51" fillId="18" borderId="1" xfId="37" applyFont="1" applyFill="1" applyBorder="1" applyAlignment="1">
      <alignment vertical="center" wrapText="1"/>
    </xf>
    <xf numFmtId="0" fontId="53" fillId="18" borderId="39" xfId="37" applyFont="1" applyFill="1" applyBorder="1" applyAlignment="1">
      <alignment vertical="center" wrapText="1"/>
    </xf>
    <xf numFmtId="0" fontId="53" fillId="18" borderId="1" xfId="37" applyFont="1" applyFill="1" applyBorder="1" applyAlignment="1">
      <alignment horizontal="left" vertical="center" wrapText="1"/>
    </xf>
    <xf numFmtId="0" fontId="182" fillId="0" borderId="1" xfId="37" applyFont="1" applyFill="1" applyBorder="1" applyAlignment="1">
      <alignment horizontal="left" vertical="center" wrapText="1"/>
    </xf>
    <xf numFmtId="0" fontId="182" fillId="0" borderId="39" xfId="37" applyFont="1" applyFill="1" applyBorder="1" applyAlignment="1">
      <alignment horizontal="left" vertical="center" wrapText="1"/>
    </xf>
    <xf numFmtId="2" fontId="182" fillId="0" borderId="1" xfId="37" applyNumberFormat="1" applyFont="1" applyFill="1" applyBorder="1" applyAlignment="1">
      <alignment horizontal="left" vertical="center" wrapText="1"/>
    </xf>
    <xf numFmtId="2" fontId="182" fillId="0" borderId="39" xfId="37" applyNumberFormat="1" applyFont="1" applyFill="1" applyBorder="1" applyAlignment="1">
      <alignment horizontal="left" vertical="center" wrapText="1"/>
    </xf>
    <xf numFmtId="0" fontId="58" fillId="0" borderId="2" xfId="37" applyFont="1" applyFill="1" applyBorder="1" applyAlignment="1">
      <alignment horizontal="center" vertical="center" wrapText="1"/>
    </xf>
    <xf numFmtId="2" fontId="58" fillId="0" borderId="2" xfId="37" applyNumberFormat="1" applyFont="1" applyFill="1" applyBorder="1" applyAlignment="1">
      <alignment horizontal="center" vertical="center" wrapText="1"/>
    </xf>
    <xf numFmtId="0" fontId="51" fillId="18" borderId="1" xfId="37" applyFont="1" applyFill="1" applyBorder="1" applyAlignment="1">
      <alignment horizontal="center" vertical="center" wrapText="1"/>
    </xf>
    <xf numFmtId="0" fontId="51" fillId="18" borderId="39" xfId="37" applyFont="1" applyFill="1" applyBorder="1" applyAlignment="1">
      <alignment horizontal="center" vertical="center" wrapText="1"/>
    </xf>
    <xf numFmtId="166" fontId="172" fillId="18" borderId="1" xfId="58" applyNumberFormat="1" applyFont="1" applyFill="1" applyBorder="1" applyAlignment="1">
      <alignment horizontal="right" vertical="center" wrapText="1"/>
    </xf>
    <xf numFmtId="0" fontId="182" fillId="34" borderId="1" xfId="37" applyFont="1" applyFill="1" applyBorder="1" applyAlignment="1">
      <alignment horizontal="left" vertical="center" wrapText="1"/>
    </xf>
    <xf numFmtId="0" fontId="82" fillId="34" borderId="1" xfId="37" applyFont="1" applyFill="1" applyBorder="1" applyAlignment="1">
      <alignment horizontal="center" vertical="center" wrapText="1"/>
    </xf>
    <xf numFmtId="166" fontId="172" fillId="17" borderId="39" xfId="37" applyNumberFormat="1" applyFont="1" applyFill="1" applyBorder="1" applyAlignment="1">
      <alignment horizontal="right" vertical="center" wrapText="1"/>
    </xf>
    <xf numFmtId="166" fontId="171" fillId="18" borderId="39" xfId="37" applyNumberFormat="1" applyFont="1" applyFill="1" applyBorder="1" applyAlignment="1">
      <alignment horizontal="right" vertical="center" wrapText="1"/>
    </xf>
    <xf numFmtId="166" fontId="171" fillId="34" borderId="39" xfId="37" applyNumberFormat="1" applyFont="1" applyFill="1" applyBorder="1" applyAlignment="1">
      <alignment horizontal="right" vertical="center" wrapText="1"/>
    </xf>
    <xf numFmtId="166" fontId="179" fillId="17" borderId="39" xfId="37" applyNumberFormat="1" applyFont="1" applyFill="1" applyBorder="1" applyAlignment="1">
      <alignment horizontal="right" vertical="center" wrapText="1"/>
    </xf>
    <xf numFmtId="0" fontId="181" fillId="34" borderId="39" xfId="37" applyFont="1" applyFill="1" applyBorder="1" applyAlignment="1">
      <alignment horizontal="center" vertical="center"/>
    </xf>
    <xf numFmtId="0" fontId="180" fillId="34" borderId="1" xfId="37" applyFont="1" applyFill="1" applyBorder="1" applyAlignment="1">
      <alignment horizontal="left" vertical="center" wrapText="1"/>
    </xf>
    <xf numFmtId="0" fontId="180" fillId="34" borderId="39" xfId="37" applyFont="1" applyFill="1" applyBorder="1" applyAlignment="1">
      <alignment horizontal="left" vertical="center" wrapText="1"/>
    </xf>
    <xf numFmtId="166" fontId="178" fillId="17" borderId="39" xfId="37" applyNumberFormat="1" applyFont="1" applyFill="1" applyBorder="1" applyAlignment="1">
      <alignment horizontal="right" vertical="center" wrapText="1"/>
    </xf>
    <xf numFmtId="166" fontId="177" fillId="18" borderId="39" xfId="37" applyNumberFormat="1" applyFont="1" applyFill="1" applyBorder="1" applyAlignment="1">
      <alignment horizontal="right" vertical="center" wrapText="1"/>
    </xf>
    <xf numFmtId="166" fontId="177" fillId="34" borderId="39" xfId="37" applyNumberFormat="1" applyFont="1" applyFill="1" applyBorder="1" applyAlignment="1">
      <alignment horizontal="right" vertical="center" wrapText="1"/>
    </xf>
    <xf numFmtId="166" fontId="177" fillId="17" borderId="39" xfId="37" applyNumberFormat="1" applyFont="1" applyFill="1" applyBorder="1" applyAlignment="1">
      <alignment horizontal="right" vertical="center" wrapText="1"/>
    </xf>
    <xf numFmtId="166" fontId="186" fillId="17" borderId="39" xfId="37" applyNumberFormat="1" applyFont="1" applyFill="1" applyBorder="1" applyAlignment="1">
      <alignment horizontal="right" vertical="center" wrapText="1"/>
    </xf>
    <xf numFmtId="0" fontId="181" fillId="34" borderId="1" xfId="37" applyFont="1" applyFill="1" applyBorder="1" applyAlignment="1">
      <alignment horizontal="center" vertical="center" wrapText="1"/>
    </xf>
    <xf numFmtId="0" fontId="181" fillId="34" borderId="39" xfId="37" applyFont="1" applyFill="1" applyBorder="1" applyAlignment="1">
      <alignment horizontal="center" vertical="center" wrapText="1"/>
    </xf>
    <xf numFmtId="0" fontId="82" fillId="34" borderId="2" xfId="37" applyFont="1" applyFill="1" applyBorder="1" applyAlignment="1">
      <alignment horizontal="center" vertical="center" wrapText="1"/>
    </xf>
    <xf numFmtId="0" fontId="58" fillId="0" borderId="1" xfId="37" applyFont="1" applyFill="1" applyBorder="1" applyAlignment="1">
      <alignment horizontal="center" vertical="center" wrapText="1"/>
    </xf>
    <xf numFmtId="2" fontId="58" fillId="0" borderId="1" xfId="37" applyNumberFormat="1" applyFont="1" applyFill="1" applyBorder="1" applyAlignment="1">
      <alignment horizontal="center" vertical="center" wrapText="1"/>
    </xf>
    <xf numFmtId="2" fontId="58" fillId="0" borderId="18" xfId="37" applyNumberFormat="1" applyFont="1" applyFill="1" applyBorder="1" applyAlignment="1">
      <alignment horizontal="center" vertical="center" wrapText="1"/>
    </xf>
    <xf numFmtId="0" fontId="53" fillId="0" borderId="1" xfId="37" applyFont="1" applyFill="1" applyBorder="1" applyAlignment="1">
      <alignment horizontal="left" vertical="center" wrapText="1"/>
    </xf>
    <xf numFmtId="0" fontId="53" fillId="0" borderId="39" xfId="37" applyFont="1" applyFill="1" applyBorder="1" applyAlignment="1">
      <alignment horizontal="left" vertical="center" wrapText="1"/>
    </xf>
    <xf numFmtId="166" fontId="185" fillId="30" borderId="39" xfId="37" applyNumberFormat="1" applyFont="1" applyFill="1" applyBorder="1" applyAlignment="1">
      <alignment horizontal="left" vertical="center" wrapText="1"/>
    </xf>
    <xf numFmtId="166" fontId="194" fillId="30" borderId="39" xfId="58" applyNumberFormat="1" applyFont="1" applyFill="1" applyBorder="1" applyAlignment="1">
      <alignment horizontal="left" vertical="center" wrapText="1"/>
    </xf>
    <xf numFmtId="166" fontId="194" fillId="30" borderId="39" xfId="62" applyNumberFormat="1" applyFont="1" applyFill="1" applyBorder="1" applyAlignment="1">
      <alignment horizontal="left" vertical="center" wrapText="1"/>
    </xf>
    <xf numFmtId="3" fontId="195" fillId="30" borderId="39" xfId="40" applyNumberFormat="1" applyFont="1" applyFill="1" applyBorder="1" applyAlignment="1" applyProtection="1">
      <alignment horizontal="left" vertical="center"/>
      <protection locked="0"/>
    </xf>
    <xf numFmtId="166" fontId="173" fillId="30" borderId="39" xfId="37" applyNumberFormat="1" applyFont="1" applyFill="1" applyBorder="1" applyAlignment="1">
      <alignment horizontal="left" vertical="center" wrapText="1"/>
    </xf>
    <xf numFmtId="166" fontId="171" fillId="17" borderId="1" xfId="58" applyNumberFormat="1" applyFont="1" applyFill="1" applyBorder="1" applyAlignment="1">
      <alignment horizontal="right" vertical="center" wrapText="1"/>
    </xf>
    <xf numFmtId="166" fontId="171" fillId="18" borderId="1" xfId="58" applyNumberFormat="1" applyFont="1" applyFill="1" applyBorder="1" applyAlignment="1">
      <alignment horizontal="right" vertical="center" wrapText="1"/>
    </xf>
    <xf numFmtId="0" fontId="196" fillId="0" borderId="57" xfId="37" applyFont="1" applyBorder="1"/>
    <xf numFmtId="0" fontId="9" fillId="0" borderId="0" xfId="37"/>
    <xf numFmtId="0" fontId="197" fillId="0" borderId="57" xfId="37" applyFont="1" applyBorder="1" applyAlignment="1">
      <alignment horizontal="left" wrapText="1"/>
    </xf>
    <xf numFmtId="0" fontId="199" fillId="72" borderId="57" xfId="37" applyFont="1" applyFill="1" applyBorder="1" applyAlignment="1">
      <alignment horizontal="center" vertical="top" wrapText="1"/>
    </xf>
    <xf numFmtId="0" fontId="201" fillId="73" borderId="57" xfId="37" applyFont="1" applyFill="1" applyBorder="1" applyAlignment="1">
      <alignment wrapText="1"/>
    </xf>
    <xf numFmtId="0" fontId="202" fillId="74" borderId="57" xfId="37" applyFont="1" applyFill="1" applyBorder="1" applyAlignment="1">
      <alignment horizontal="center"/>
    </xf>
    <xf numFmtId="0" fontId="203" fillId="73" borderId="57" xfId="37" applyFont="1" applyFill="1" applyBorder="1" applyAlignment="1">
      <alignment vertical="top" wrapText="1"/>
    </xf>
    <xf numFmtId="202" fontId="196" fillId="0" borderId="57" xfId="37" applyNumberFormat="1" applyFont="1" applyBorder="1" applyAlignment="1">
      <alignment horizontal="right"/>
    </xf>
    <xf numFmtId="202" fontId="196" fillId="75" borderId="57" xfId="37" applyNumberFormat="1" applyFont="1" applyFill="1" applyBorder="1" applyAlignment="1">
      <alignment horizontal="right"/>
    </xf>
    <xf numFmtId="0" fontId="204" fillId="73" borderId="57" xfId="37" applyFont="1" applyFill="1" applyBorder="1" applyAlignment="1">
      <alignment vertical="top" wrapText="1"/>
    </xf>
    <xf numFmtId="0" fontId="204" fillId="0" borderId="0" xfId="37" applyFont="1" applyAlignment="1">
      <alignment horizontal="left"/>
    </xf>
    <xf numFmtId="166" fontId="172" fillId="17" borderId="1" xfId="58" quotePrefix="1" applyNumberFormat="1" applyFont="1" applyFill="1" applyBorder="1" applyAlignment="1">
      <alignment horizontal="right" vertical="center" wrapText="1"/>
    </xf>
    <xf numFmtId="0" fontId="9" fillId="20" borderId="0" xfId="37" applyFill="1"/>
    <xf numFmtId="0" fontId="17" fillId="0" borderId="0" xfId="0" applyFont="1" applyAlignment="1">
      <alignment horizontal="center"/>
    </xf>
    <xf numFmtId="0" fontId="44" fillId="0" borderId="1" xfId="0" applyNumberFormat="1" applyFont="1" applyFill="1" applyBorder="1" applyAlignment="1" applyProtection="1">
      <alignment horizontal="center" vertical="center" wrapText="1" readingOrder="1"/>
    </xf>
    <xf numFmtId="166" fontId="43" fillId="18" borderId="39" xfId="58" applyNumberFormat="1" applyFont="1" applyFill="1" applyBorder="1" applyAlignment="1" applyProtection="1">
      <alignment horizontal="left" vertical="center" readingOrder="1"/>
    </xf>
    <xf numFmtId="166" fontId="43" fillId="18" borderId="39" xfId="58" applyNumberFormat="1" applyFont="1" applyFill="1" applyBorder="1" applyAlignment="1" applyProtection="1">
      <alignment horizontal="left" vertical="center" wrapText="1" readingOrder="1"/>
    </xf>
    <xf numFmtId="166" fontId="43" fillId="18" borderId="39" xfId="58" applyNumberFormat="1" applyFont="1" applyFill="1" applyBorder="1" applyAlignment="1" applyProtection="1">
      <alignment horizontal="center" vertical="center" readingOrder="1"/>
    </xf>
    <xf numFmtId="166" fontId="43" fillId="18" borderId="39" xfId="58" applyNumberFormat="1" applyFont="1" applyFill="1" applyBorder="1" applyAlignment="1" applyProtection="1">
      <alignment horizontal="center" vertical="center" wrapText="1" readingOrder="1"/>
    </xf>
    <xf numFmtId="0" fontId="76" fillId="25" borderId="39" xfId="0" applyFont="1" applyFill="1" applyBorder="1" applyAlignment="1">
      <alignment horizontal="right"/>
    </xf>
    <xf numFmtId="166" fontId="69" fillId="25" borderId="39" xfId="58" applyNumberFormat="1" applyFont="1" applyFill="1" applyBorder="1" applyAlignment="1">
      <alignment vertical="center" wrapText="1"/>
    </xf>
    <xf numFmtId="166" fontId="67" fillId="25" borderId="39" xfId="58" applyNumberFormat="1" applyFont="1" applyFill="1" applyBorder="1" applyAlignment="1">
      <alignment horizontal="left" vertical="center" wrapText="1"/>
    </xf>
    <xf numFmtId="166" fontId="70" fillId="25" borderId="39" xfId="58" applyNumberFormat="1" applyFont="1" applyFill="1" applyBorder="1" applyAlignment="1">
      <alignment horizontal="left" vertical="center" wrapText="1"/>
    </xf>
    <xf numFmtId="166" fontId="71" fillId="25" borderId="39" xfId="58" applyNumberFormat="1" applyFont="1" applyFill="1" applyBorder="1" applyAlignment="1">
      <alignment vertical="center" wrapText="1"/>
    </xf>
    <xf numFmtId="166" fontId="70" fillId="25" borderId="39" xfId="58" applyNumberFormat="1" applyFont="1" applyFill="1" applyBorder="1" applyAlignment="1">
      <alignment vertical="center" wrapText="1"/>
    </xf>
    <xf numFmtId="166" fontId="67" fillId="25" borderId="39" xfId="58" applyNumberFormat="1" applyFont="1" applyFill="1" applyBorder="1" applyAlignment="1">
      <alignment horizontal="center" vertical="center" wrapText="1"/>
    </xf>
    <xf numFmtId="166" fontId="70" fillId="25" borderId="39" xfId="58" applyNumberFormat="1" applyFont="1" applyFill="1" applyBorder="1" applyAlignment="1">
      <alignment horizontal="center" vertical="center" wrapText="1"/>
    </xf>
    <xf numFmtId="166" fontId="67" fillId="25" borderId="39" xfId="58" applyNumberFormat="1" applyFont="1" applyFill="1" applyBorder="1" applyAlignment="1">
      <alignment horizontal="right" vertical="center" wrapText="1"/>
    </xf>
    <xf numFmtId="166" fontId="72" fillId="25" borderId="39" xfId="58" applyNumberFormat="1" applyFont="1" applyFill="1" applyBorder="1" applyAlignment="1">
      <alignment vertical="center"/>
    </xf>
    <xf numFmtId="166" fontId="46" fillId="0" borderId="39" xfId="58" applyNumberFormat="1" applyFont="1" applyBorder="1"/>
    <xf numFmtId="0" fontId="76" fillId="16" borderId="39" xfId="0" applyFont="1" applyFill="1" applyBorder="1" applyAlignment="1">
      <alignment horizontal="left"/>
    </xf>
    <xf numFmtId="166" fontId="68" fillId="0" borderId="39" xfId="58" applyNumberFormat="1" applyFont="1" applyFill="1" applyBorder="1" applyAlignment="1">
      <alignment vertical="center" wrapText="1"/>
    </xf>
    <xf numFmtId="166" fontId="68" fillId="20" borderId="39" xfId="58" applyNumberFormat="1" applyFont="1" applyFill="1" applyBorder="1" applyAlignment="1">
      <alignment vertical="center" wrapText="1"/>
    </xf>
    <xf numFmtId="166" fontId="71" fillId="20" borderId="39" xfId="58" applyNumberFormat="1" applyFont="1" applyFill="1" applyBorder="1" applyAlignment="1">
      <alignment vertical="center" wrapText="1"/>
    </xf>
    <xf numFmtId="166" fontId="69" fillId="0" borderId="39" xfId="58" applyNumberFormat="1" applyFont="1" applyFill="1" applyBorder="1" applyAlignment="1">
      <alignment vertical="center" wrapText="1"/>
    </xf>
    <xf numFmtId="166" fontId="71" fillId="0" borderId="39" xfId="58" applyNumberFormat="1" applyFont="1" applyFill="1" applyBorder="1" applyAlignment="1">
      <alignment vertical="center" wrapText="1"/>
    </xf>
    <xf numFmtId="166" fontId="72" fillId="0" borderId="39" xfId="58" applyNumberFormat="1" applyFont="1" applyFill="1" applyBorder="1" applyAlignment="1">
      <alignment vertical="center" wrapText="1"/>
    </xf>
    <xf numFmtId="166" fontId="73" fillId="0" borderId="39" xfId="58" applyNumberFormat="1" applyFont="1" applyFill="1" applyBorder="1" applyAlignment="1">
      <alignment vertical="center" wrapText="1"/>
    </xf>
    <xf numFmtId="166" fontId="75" fillId="18" borderId="39" xfId="0" applyNumberFormat="1" applyFont="1" applyFill="1" applyBorder="1"/>
    <xf numFmtId="3" fontId="43" fillId="16" borderId="39" xfId="0" applyNumberFormat="1" applyFont="1" applyFill="1" applyBorder="1" applyAlignment="1" applyProtection="1">
      <alignment horizontal="left" vertical="center" readingOrder="1"/>
    </xf>
    <xf numFmtId="166" fontId="46" fillId="0" borderId="39" xfId="58" applyNumberFormat="1" applyFont="1" applyFill="1" applyBorder="1"/>
    <xf numFmtId="166" fontId="46" fillId="39" borderId="39" xfId="58" applyNumberFormat="1" applyFont="1" applyFill="1" applyBorder="1"/>
    <xf numFmtId="166" fontId="43" fillId="0" borderId="39" xfId="58" applyNumberFormat="1" applyFont="1" applyFill="1" applyBorder="1" applyAlignment="1" applyProtection="1">
      <alignment horizontal="left" vertical="center" readingOrder="1"/>
    </xf>
    <xf numFmtId="166" fontId="0" fillId="0" borderId="39" xfId="58" applyNumberFormat="1" applyFont="1" applyFill="1" applyBorder="1"/>
    <xf numFmtId="166" fontId="0" fillId="39" borderId="39" xfId="58" applyNumberFormat="1" applyFont="1" applyFill="1" applyBorder="1"/>
    <xf numFmtId="166" fontId="0" fillId="0" borderId="39" xfId="58" applyNumberFormat="1" applyFont="1" applyBorder="1"/>
    <xf numFmtId="166" fontId="75" fillId="31" borderId="39" xfId="0" applyNumberFormat="1" applyFont="1" applyFill="1" applyBorder="1"/>
    <xf numFmtId="3" fontId="43" fillId="31" borderId="39" xfId="0" applyNumberFormat="1" applyFont="1" applyFill="1" applyBorder="1" applyAlignment="1" applyProtection="1">
      <alignment horizontal="left" vertical="center" readingOrder="1"/>
    </xf>
    <xf numFmtId="166" fontId="0" fillId="31" borderId="39" xfId="58" applyNumberFormat="1" applyFont="1" applyFill="1" applyBorder="1"/>
    <xf numFmtId="0" fontId="44" fillId="0" borderId="39" xfId="0" applyNumberFormat="1" applyFont="1" applyFill="1" applyBorder="1" applyAlignment="1" applyProtection="1">
      <alignment horizontal="center" vertical="center" wrapText="1" readingOrder="1"/>
    </xf>
    <xf numFmtId="0" fontId="44" fillId="0" borderId="39" xfId="0" applyNumberFormat="1" applyFont="1" applyFill="1" applyBorder="1" applyAlignment="1" applyProtection="1">
      <alignment horizontal="center" vertical="center" readingOrder="1"/>
    </xf>
    <xf numFmtId="4" fontId="74" fillId="0" borderId="61" xfId="0" applyNumberFormat="1" applyFont="1" applyFill="1" applyBorder="1" applyAlignment="1">
      <alignment horizontal="center" vertical="center" wrapText="1"/>
    </xf>
    <xf numFmtId="4" fontId="74" fillId="0" borderId="39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vertical="center" wrapText="1"/>
    </xf>
    <xf numFmtId="0" fontId="28" fillId="0" borderId="39" xfId="0" applyNumberFormat="1" applyFont="1" applyFill="1" applyBorder="1" applyAlignment="1" applyProtection="1">
      <alignment horizontal="center" vertical="center" wrapText="1" readingOrder="1"/>
    </xf>
    <xf numFmtId="0" fontId="28" fillId="0" borderId="39" xfId="0" applyNumberFormat="1" applyFont="1" applyFill="1" applyBorder="1" applyAlignment="1" applyProtection="1">
      <alignment horizontal="left" vertical="center" wrapText="1" readingOrder="1"/>
    </xf>
    <xf numFmtId="166" fontId="205" fillId="0" borderId="39" xfId="58" applyNumberFormat="1" applyFont="1" applyFill="1" applyBorder="1"/>
    <xf numFmtId="3" fontId="133" fillId="0" borderId="0" xfId="676" applyNumberFormat="1" applyFont="1" applyFill="1" applyBorder="1" applyAlignment="1">
      <alignment vertical="center"/>
    </xf>
    <xf numFmtId="4" fontId="74" fillId="0" borderId="62" xfId="0" applyNumberFormat="1" applyFont="1" applyFill="1" applyBorder="1" applyAlignment="1">
      <alignment horizontal="center" vertical="center" wrapText="1"/>
    </xf>
    <xf numFmtId="0" fontId="46" fillId="20" borderId="0" xfId="0" applyFont="1" applyFill="1"/>
    <xf numFmtId="0" fontId="0" fillId="20" borderId="0" xfId="0" applyFill="1"/>
    <xf numFmtId="0" fontId="46" fillId="0" borderId="0" xfId="0" applyFont="1" applyFill="1"/>
    <xf numFmtId="4" fontId="74" fillId="20" borderId="1" xfId="0" applyNumberFormat="1" applyFont="1" applyFill="1" applyBorder="1" applyAlignment="1">
      <alignment vertical="center" wrapText="1"/>
    </xf>
    <xf numFmtId="4" fontId="74" fillId="0" borderId="1" xfId="0" applyNumberFormat="1" applyFont="1" applyFill="1" applyBorder="1" applyAlignment="1">
      <alignment horizontal="center" vertical="center" wrapText="1"/>
    </xf>
    <xf numFmtId="0" fontId="1" fillId="0" borderId="0" xfId="676" applyAlignment="1">
      <alignment vertical="center"/>
    </xf>
    <xf numFmtId="164" fontId="133" fillId="0" borderId="1" xfId="676" applyNumberFormat="1" applyFont="1" applyFill="1" applyBorder="1" applyAlignment="1">
      <alignment vertical="center"/>
    </xf>
    <xf numFmtId="164" fontId="133" fillId="0" borderId="1" xfId="676" applyNumberFormat="1" applyFont="1" applyFill="1" applyBorder="1" applyAlignment="1">
      <alignment vertical="center" wrapText="1"/>
    </xf>
    <xf numFmtId="164" fontId="206" fillId="0" borderId="1" xfId="676" applyNumberFormat="1" applyFont="1" applyFill="1" applyBorder="1" applyAlignment="1">
      <alignment vertical="center" wrapText="1"/>
    </xf>
    <xf numFmtId="164" fontId="133" fillId="20" borderId="1" xfId="676" applyNumberFormat="1" applyFont="1" applyFill="1" applyBorder="1" applyAlignment="1">
      <alignment vertical="center"/>
    </xf>
    <xf numFmtId="166" fontId="205" fillId="0" borderId="0" xfId="58" applyNumberFormat="1" applyFont="1" applyFill="1" applyBorder="1"/>
    <xf numFmtId="49" fontId="19" fillId="0" borderId="0" xfId="0" applyNumberFormat="1" applyFont="1" applyAlignment="1">
      <alignment horizontal="right" vertical="center"/>
    </xf>
    <xf numFmtId="3" fontId="1" fillId="0" borderId="0" xfId="676" applyNumberFormat="1" applyAlignment="1">
      <alignment vertical="center"/>
    </xf>
    <xf numFmtId="164" fontId="1" fillId="0" borderId="0" xfId="676" applyNumberFormat="1" applyAlignment="1">
      <alignment vertical="center"/>
    </xf>
    <xf numFmtId="0" fontId="1" fillId="0" borderId="0" xfId="676" applyBorder="1" applyAlignment="1">
      <alignment vertical="center"/>
    </xf>
    <xf numFmtId="3" fontId="133" fillId="0" borderId="1" xfId="676" applyNumberFormat="1" applyFont="1" applyFill="1" applyBorder="1" applyAlignment="1">
      <alignment vertical="center"/>
    </xf>
    <xf numFmtId="164" fontId="1" fillId="20" borderId="0" xfId="676" applyNumberFormat="1" applyFont="1" applyFill="1" applyAlignment="1">
      <alignment vertical="center"/>
    </xf>
    <xf numFmtId="172" fontId="1" fillId="0" borderId="0" xfId="676" applyNumberFormat="1" applyAlignment="1">
      <alignment vertical="center"/>
    </xf>
    <xf numFmtId="164" fontId="133" fillId="0" borderId="0" xfId="676" applyNumberFormat="1" applyFont="1" applyFill="1" applyBorder="1" applyAlignment="1">
      <alignment vertical="center"/>
    </xf>
    <xf numFmtId="0" fontId="1" fillId="0" borderId="0" xfId="676" applyFont="1" applyFill="1" applyBorder="1" applyAlignment="1">
      <alignment horizontal="left" vertical="center" wrapText="1"/>
    </xf>
    <xf numFmtId="0" fontId="1" fillId="0" borderId="0" xfId="676" applyFont="1" applyAlignment="1">
      <alignment vertical="center"/>
    </xf>
    <xf numFmtId="0" fontId="7" fillId="0" borderId="0" xfId="680" applyFont="1" applyFill="1" applyBorder="1" applyAlignment="1">
      <alignment horizontal="left" vertical="center" wrapText="1"/>
    </xf>
    <xf numFmtId="0" fontId="1" fillId="0" borderId="0" xfId="676" applyFill="1" applyAlignment="1">
      <alignment vertical="center"/>
    </xf>
    <xf numFmtId="164" fontId="133" fillId="23" borderId="14" xfId="676" applyNumberFormat="1" applyFont="1" applyFill="1" applyBorder="1" applyAlignment="1">
      <alignment vertical="center"/>
    </xf>
    <xf numFmtId="0" fontId="0" fillId="23" borderId="14" xfId="680" applyFont="1" applyFill="1" applyBorder="1" applyAlignment="1">
      <alignment horizontal="left" vertical="center" wrapText="1"/>
    </xf>
    <xf numFmtId="164" fontId="133" fillId="23" borderId="1" xfId="676" applyNumberFormat="1" applyFont="1" applyFill="1" applyBorder="1" applyAlignment="1">
      <alignment vertical="center"/>
    </xf>
    <xf numFmtId="164" fontId="132" fillId="23" borderId="1" xfId="676" applyNumberFormat="1" applyFont="1" applyFill="1" applyBorder="1" applyAlignment="1">
      <alignment vertical="center"/>
    </xf>
    <xf numFmtId="203" fontId="140" fillId="0" borderId="63" xfId="0" applyNumberFormat="1" applyFont="1" applyFill="1" applyBorder="1" applyAlignment="1">
      <alignment horizontal="right" vertical="center"/>
    </xf>
    <xf numFmtId="0" fontId="1" fillId="0" borderId="0" xfId="676" applyFont="1" applyFill="1" applyAlignment="1">
      <alignment vertical="center"/>
    </xf>
    <xf numFmtId="193" fontId="1" fillId="0" borderId="0" xfId="676" applyNumberFormat="1" applyAlignment="1">
      <alignment vertical="center"/>
    </xf>
    <xf numFmtId="0" fontId="207" fillId="0" borderId="0" xfId="0" applyFont="1"/>
    <xf numFmtId="0" fontId="64" fillId="0" borderId="1" xfId="0" applyFont="1" applyBorder="1" applyAlignment="1">
      <alignment horizontal="center" vertical="center"/>
    </xf>
    <xf numFmtId="3" fontId="64" fillId="0" borderId="1" xfId="0" applyNumberFormat="1" applyFont="1" applyBorder="1" applyAlignment="1">
      <alignment horizontal="center" vertical="center"/>
    </xf>
    <xf numFmtId="166" fontId="77" fillId="0" borderId="1" xfId="58" applyNumberFormat="1" applyFont="1" applyBorder="1"/>
    <xf numFmtId="4" fontId="64" fillId="0" borderId="1" xfId="0" applyNumberFormat="1" applyFont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164" fontId="64" fillId="0" borderId="1" xfId="0" applyNumberFormat="1" applyFont="1" applyBorder="1" applyAlignment="1">
      <alignment horizontal="center" vertical="center"/>
    </xf>
    <xf numFmtId="164" fontId="64" fillId="0" borderId="1" xfId="0" applyNumberFormat="1" applyFont="1" applyFill="1" applyBorder="1" applyAlignment="1">
      <alignment vertical="center"/>
    </xf>
    <xf numFmtId="43" fontId="64" fillId="0" borderId="1" xfId="58" applyFont="1" applyBorder="1" applyAlignment="1">
      <alignment horizontal="right"/>
    </xf>
    <xf numFmtId="0" fontId="130" fillId="76" borderId="0" xfId="0" applyFont="1" applyFill="1" applyAlignment="1">
      <alignment horizontal="left"/>
    </xf>
    <xf numFmtId="0" fontId="130" fillId="76" borderId="0" xfId="0" applyFont="1" applyFill="1" applyAlignment="1">
      <alignment horizontal="left" wrapText="1"/>
    </xf>
    <xf numFmtId="0" fontId="130" fillId="76" borderId="1" xfId="0" applyFont="1" applyFill="1" applyBorder="1" applyAlignment="1">
      <alignment horizontal="left" wrapText="1"/>
    </xf>
    <xf numFmtId="4" fontId="130" fillId="76" borderId="1" xfId="677" applyNumberFormat="1" applyFont="1" applyFill="1" applyBorder="1" applyAlignment="1">
      <alignment horizontal="left" vertical="center" wrapText="1"/>
    </xf>
    <xf numFmtId="0" fontId="0" fillId="76" borderId="0" xfId="0" applyFill="1"/>
    <xf numFmtId="0" fontId="130" fillId="0" borderId="0" xfId="0" applyFont="1" applyFill="1" applyAlignment="1">
      <alignment horizontal="left"/>
    </xf>
    <xf numFmtId="0" fontId="130" fillId="0" borderId="0" xfId="0" applyFont="1" applyFill="1" applyAlignment="1">
      <alignment horizontal="left" wrapText="1"/>
    </xf>
    <xf numFmtId="0" fontId="130" fillId="0" borderId="1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3" fontId="18" fillId="34" borderId="1" xfId="677" applyNumberFormat="1" applyFont="1" applyFill="1" applyBorder="1" applyAlignment="1">
      <alignment horizontal="right" vertical="center" wrapText="1"/>
    </xf>
    <xf numFmtId="4" fontId="130" fillId="0" borderId="1" xfId="677" applyNumberFormat="1" applyFont="1" applyFill="1" applyBorder="1" applyAlignment="1">
      <alignment horizontal="left" vertical="center" wrapText="1"/>
    </xf>
    <xf numFmtId="0" fontId="208" fillId="0" borderId="7" xfId="668" applyFont="1" applyFill="1" applyBorder="1" applyAlignment="1">
      <alignment horizontal="left" vertical="center" wrapText="1"/>
    </xf>
    <xf numFmtId="49" fontId="209" fillId="76" borderId="24" xfId="668" applyNumberFormat="1" applyFont="1" applyFill="1" applyBorder="1" applyAlignment="1">
      <alignment horizontal="left" vertical="center"/>
    </xf>
    <xf numFmtId="49" fontId="209" fillId="76" borderId="46" xfId="668" applyNumberFormat="1" applyFont="1" applyFill="1" applyBorder="1" applyAlignment="1">
      <alignment horizontal="left" vertical="center"/>
    </xf>
    <xf numFmtId="0" fontId="130" fillId="76" borderId="1" xfId="0" applyFont="1" applyFill="1" applyBorder="1" applyAlignment="1">
      <alignment horizontal="left"/>
    </xf>
    <xf numFmtId="0" fontId="209" fillId="76" borderId="25" xfId="668" applyFont="1" applyFill="1" applyBorder="1" applyAlignment="1">
      <alignment horizontal="left" vertical="center" wrapText="1"/>
    </xf>
    <xf numFmtId="0" fontId="209" fillId="76" borderId="24" xfId="668" applyFont="1" applyFill="1" applyBorder="1" applyAlignment="1">
      <alignment horizontal="left" vertical="center"/>
    </xf>
    <xf numFmtId="0" fontId="209" fillId="0" borderId="24" xfId="668" applyFont="1" applyFill="1" applyBorder="1" applyAlignment="1">
      <alignment horizontal="left"/>
    </xf>
    <xf numFmtId="0" fontId="209" fillId="0" borderId="46" xfId="668" applyFont="1" applyFill="1" applyBorder="1" applyAlignment="1">
      <alignment horizontal="left"/>
    </xf>
    <xf numFmtId="194" fontId="209" fillId="0" borderId="25" xfId="669" applyFont="1" applyFill="1" applyBorder="1" applyAlignment="1">
      <alignment horizontal="left" wrapText="1"/>
    </xf>
    <xf numFmtId="0" fontId="209" fillId="0" borderId="24" xfId="668" applyFont="1" applyFill="1" applyBorder="1" applyAlignment="1">
      <alignment horizontal="left" vertical="center"/>
    </xf>
    <xf numFmtId="0" fontId="130" fillId="0" borderId="1" xfId="0" applyFont="1" applyFill="1" applyBorder="1" applyAlignment="1">
      <alignment horizontal="left" vertical="center" wrapText="1"/>
    </xf>
    <xf numFmtId="164" fontId="210" fillId="0" borderId="1" xfId="0" applyNumberFormat="1" applyFont="1" applyFill="1" applyBorder="1" applyAlignment="1">
      <alignment horizontal="left"/>
    </xf>
    <xf numFmtId="49" fontId="209" fillId="0" borderId="24" xfId="668" applyNumberFormat="1" applyFont="1" applyFill="1" applyBorder="1" applyAlignment="1">
      <alignment horizontal="left" vertical="center"/>
    </xf>
    <xf numFmtId="49" fontId="209" fillId="0" borderId="46" xfId="668" applyNumberFormat="1" applyFont="1" applyFill="1" applyBorder="1" applyAlignment="1">
      <alignment horizontal="left" vertical="center"/>
    </xf>
    <xf numFmtId="0" fontId="209" fillId="0" borderId="25" xfId="668" applyFont="1" applyFill="1" applyBorder="1" applyAlignment="1">
      <alignment horizontal="left" vertical="center" wrapText="1"/>
    </xf>
    <xf numFmtId="195" fontId="209" fillId="0" borderId="24" xfId="668" applyNumberFormat="1" applyFont="1" applyFill="1" applyBorder="1" applyAlignment="1">
      <alignment horizontal="left" vertical="center"/>
    </xf>
    <xf numFmtId="0" fontId="208" fillId="0" borderId="24" xfId="668" applyFont="1" applyFill="1" applyBorder="1" applyAlignment="1">
      <alignment horizontal="left"/>
    </xf>
    <xf numFmtId="0" fontId="19" fillId="16" borderId="1" xfId="0" applyFont="1" applyFill="1" applyBorder="1" applyAlignment="1">
      <alignment horizontal="left" vertical="center" wrapText="1"/>
    </xf>
    <xf numFmtId="164" fontId="159" fillId="16" borderId="1" xfId="0" applyNumberFormat="1" applyFont="1" applyFill="1" applyBorder="1" applyAlignment="1">
      <alignment horizontal="center"/>
    </xf>
    <xf numFmtId="43" fontId="208" fillId="76" borderId="3" xfId="58" applyFont="1" applyFill="1" applyBorder="1" applyAlignment="1">
      <alignment horizontal="left" vertical="center" wrapText="1"/>
    </xf>
    <xf numFmtId="43" fontId="208" fillId="76" borderId="1" xfId="58" applyFont="1" applyFill="1" applyBorder="1" applyAlignment="1">
      <alignment horizontal="left" vertical="center" wrapText="1"/>
    </xf>
    <xf numFmtId="43" fontId="208" fillId="76" borderId="7" xfId="58" applyFont="1" applyFill="1" applyBorder="1" applyAlignment="1">
      <alignment horizontal="left" vertical="center" wrapText="1"/>
    </xf>
    <xf numFmtId="166" fontId="130" fillId="76" borderId="1" xfId="58" applyNumberFormat="1" applyFont="1" applyFill="1" applyBorder="1" applyAlignment="1">
      <alignment horizontal="left" vertical="center" wrapText="1"/>
    </xf>
    <xf numFmtId="0" fontId="208" fillId="0" borderId="3" xfId="58" applyNumberFormat="1" applyFont="1" applyFill="1" applyBorder="1" applyAlignment="1">
      <alignment horizontal="left" vertical="center" wrapText="1"/>
    </xf>
    <xf numFmtId="43" fontId="208" fillId="0" borderId="1" xfId="58" applyFont="1" applyFill="1" applyBorder="1" applyAlignment="1">
      <alignment horizontal="left" vertical="center" wrapText="1"/>
    </xf>
    <xf numFmtId="43" fontId="208" fillId="0" borderId="7" xfId="58" applyFont="1" applyFill="1" applyBorder="1" applyAlignment="1">
      <alignment horizontal="left" vertical="center" wrapText="1"/>
    </xf>
    <xf numFmtId="166" fontId="130" fillId="0" borderId="1" xfId="58" applyNumberFormat="1" applyFont="1" applyFill="1" applyBorder="1" applyAlignment="1">
      <alignment horizontal="left" vertical="center" wrapText="1"/>
    </xf>
    <xf numFmtId="0" fontId="208" fillId="0" borderId="0" xfId="58" applyNumberFormat="1" applyFont="1" applyFill="1" applyBorder="1" applyAlignment="1">
      <alignment horizontal="left" vertical="center" wrapText="1"/>
    </xf>
    <xf numFmtId="0" fontId="210" fillId="0" borderId="1" xfId="0" applyFont="1" applyFill="1" applyBorder="1" applyAlignment="1">
      <alignment horizontal="left" wrapText="1"/>
    </xf>
    <xf numFmtId="3" fontId="210" fillId="0" borderId="1" xfId="0" applyNumberFormat="1" applyFont="1" applyFill="1" applyBorder="1" applyAlignment="1">
      <alignment horizontal="left" vertical="center"/>
    </xf>
    <xf numFmtId="3" fontId="130" fillId="0" borderId="1" xfId="0" applyNumberFormat="1" applyFont="1" applyFill="1" applyBorder="1" applyAlignment="1">
      <alignment horizontal="left" vertical="center"/>
    </xf>
    <xf numFmtId="0" fontId="208" fillId="0" borderId="7" xfId="0" applyFont="1" applyFill="1" applyBorder="1" applyAlignment="1">
      <alignment horizontal="left" vertical="top" wrapText="1"/>
    </xf>
    <xf numFmtId="166" fontId="208" fillId="0" borderId="1" xfId="58" applyNumberFormat="1" applyFont="1" applyFill="1" applyBorder="1" applyAlignment="1">
      <alignment horizontal="left" vertical="center" wrapText="1"/>
    </xf>
    <xf numFmtId="0" fontId="208" fillId="0" borderId="7" xfId="0" applyFont="1" applyFill="1" applyBorder="1" applyAlignment="1">
      <alignment horizontal="left" wrapText="1"/>
    </xf>
    <xf numFmtId="49" fontId="210" fillId="0" borderId="1" xfId="0" applyNumberFormat="1" applyFont="1" applyFill="1" applyBorder="1" applyAlignment="1">
      <alignment horizontal="left" wrapText="1"/>
    </xf>
    <xf numFmtId="4" fontId="210" fillId="0" borderId="1" xfId="0" applyNumberFormat="1" applyFont="1" applyFill="1" applyBorder="1" applyAlignment="1">
      <alignment horizontal="left" vertical="center"/>
    </xf>
    <xf numFmtId="1" fontId="210" fillId="76" borderId="7" xfId="0" applyNumberFormat="1" applyFont="1" applyFill="1" applyBorder="1" applyAlignment="1">
      <alignment horizontal="left" vertical="center" wrapText="1"/>
    </xf>
    <xf numFmtId="196" fontId="210" fillId="76" borderId="1" xfId="0" applyNumberFormat="1" applyFont="1" applyFill="1" applyBorder="1" applyAlignment="1">
      <alignment horizontal="left" vertical="center"/>
    </xf>
    <xf numFmtId="1" fontId="210" fillId="0" borderId="7" xfId="0" applyNumberFormat="1" applyFont="1" applyFill="1" applyBorder="1" applyAlignment="1">
      <alignment horizontal="left" vertical="center" wrapText="1"/>
    </xf>
    <xf numFmtId="196" fontId="210" fillId="0" borderId="1" xfId="0" applyNumberFormat="1" applyFont="1" applyFill="1" applyBorder="1" applyAlignment="1">
      <alignment horizontal="left" vertical="center" wrapText="1"/>
    </xf>
    <xf numFmtId="1" fontId="210" fillId="0" borderId="1" xfId="0" applyNumberFormat="1" applyFont="1" applyFill="1" applyBorder="1" applyAlignment="1">
      <alignment horizontal="left" vertical="center" wrapText="1"/>
    </xf>
    <xf numFmtId="204" fontId="210" fillId="0" borderId="1" xfId="0" applyNumberFormat="1" applyFont="1" applyFill="1" applyBorder="1" applyAlignment="1">
      <alignment horizontal="left" vertical="center" wrapText="1"/>
    </xf>
    <xf numFmtId="204" fontId="210" fillId="0" borderId="1" xfId="0" applyNumberFormat="1" applyFont="1" applyFill="1" applyBorder="1" applyAlignment="1">
      <alignment horizontal="left" vertical="center"/>
    </xf>
    <xf numFmtId="204" fontId="130" fillId="0" borderId="1" xfId="0" applyNumberFormat="1" applyFont="1" applyFill="1" applyBorder="1" applyAlignment="1">
      <alignment horizontal="left" vertical="center"/>
    </xf>
    <xf numFmtId="49" fontId="130" fillId="76" borderId="1" xfId="0" applyNumberFormat="1" applyFont="1" applyFill="1" applyBorder="1" applyAlignment="1">
      <alignment horizontal="left"/>
    </xf>
    <xf numFmtId="0" fontId="130" fillId="76" borderId="13" xfId="0" applyFont="1" applyFill="1" applyBorder="1" applyAlignment="1">
      <alignment horizontal="left" wrapText="1"/>
    </xf>
    <xf numFmtId="1" fontId="130" fillId="76" borderId="1" xfId="58" applyNumberFormat="1" applyFont="1" applyFill="1" applyBorder="1" applyAlignment="1">
      <alignment horizontal="left"/>
    </xf>
    <xf numFmtId="0" fontId="77" fillId="76" borderId="13" xfId="0" applyFont="1" applyFill="1" applyBorder="1" applyAlignment="1">
      <alignment wrapText="1"/>
    </xf>
    <xf numFmtId="0" fontId="77" fillId="76" borderId="7" xfId="0" applyFont="1" applyFill="1" applyBorder="1" applyAlignment="1">
      <alignment wrapText="1"/>
    </xf>
    <xf numFmtId="49" fontId="130" fillId="0" borderId="1" xfId="0" applyNumberFormat="1" applyFont="1" applyFill="1" applyBorder="1" applyAlignment="1">
      <alignment horizontal="left"/>
    </xf>
    <xf numFmtId="0" fontId="210" fillId="0" borderId="64" xfId="0" applyFont="1" applyFill="1" applyBorder="1" applyAlignment="1">
      <alignment horizontal="left" vertical="top" wrapText="1"/>
    </xf>
    <xf numFmtId="3" fontId="210" fillId="0" borderId="1" xfId="0" applyNumberFormat="1" applyFont="1" applyFill="1" applyBorder="1" applyAlignment="1">
      <alignment horizontal="left" vertical="top"/>
    </xf>
    <xf numFmtId="0" fontId="77" fillId="0" borderId="13" xfId="0" applyFont="1" applyFill="1" applyBorder="1" applyAlignment="1">
      <alignment wrapText="1"/>
    </xf>
    <xf numFmtId="0" fontId="77" fillId="0" borderId="7" xfId="0" applyFont="1" applyFill="1" applyBorder="1" applyAlignment="1">
      <alignment wrapText="1"/>
    </xf>
    <xf numFmtId="0" fontId="210" fillId="0" borderId="64" xfId="0" applyFont="1" applyFill="1" applyBorder="1" applyAlignment="1">
      <alignment horizontal="left" vertical="center" wrapText="1"/>
    </xf>
    <xf numFmtId="0" fontId="130" fillId="0" borderId="13" xfId="0" applyFont="1" applyFill="1" applyBorder="1" applyAlignment="1">
      <alignment horizontal="left" wrapText="1"/>
    </xf>
    <xf numFmtId="1" fontId="130" fillId="0" borderId="1" xfId="58" applyNumberFormat="1" applyFont="1" applyFill="1" applyBorder="1" applyAlignment="1">
      <alignment horizontal="left"/>
    </xf>
    <xf numFmtId="0" fontId="130" fillId="76" borderId="7" xfId="0" applyFont="1" applyFill="1" applyBorder="1" applyAlignment="1">
      <alignment horizontal="left" vertical="center" wrapText="1"/>
    </xf>
    <xf numFmtId="1" fontId="130" fillId="76" borderId="1" xfId="679" applyNumberFormat="1" applyFont="1" applyFill="1" applyBorder="1" applyAlignment="1">
      <alignment horizontal="left" vertical="center"/>
    </xf>
    <xf numFmtId="0" fontId="77" fillId="76" borderId="1" xfId="0" applyFont="1" applyFill="1" applyBorder="1"/>
    <xf numFmtId="0" fontId="130" fillId="0" borderId="7" xfId="0" applyFont="1" applyFill="1" applyBorder="1" applyAlignment="1">
      <alignment horizontal="left" vertical="top" wrapText="1"/>
    </xf>
    <xf numFmtId="1" fontId="130" fillId="0" borderId="1" xfId="679" applyNumberFormat="1" applyFont="1" applyFill="1" applyBorder="1" applyAlignment="1">
      <alignment horizontal="left" vertical="center"/>
    </xf>
    <xf numFmtId="0" fontId="211" fillId="34" borderId="1" xfId="0" applyFont="1" applyFill="1" applyBorder="1" applyAlignment="1">
      <alignment vertical="center" wrapText="1"/>
    </xf>
    <xf numFmtId="0" fontId="212" fillId="34" borderId="1" xfId="0" applyFont="1" applyFill="1" applyBorder="1" applyAlignment="1">
      <alignment vertical="center" wrapText="1"/>
    </xf>
    <xf numFmtId="0" fontId="130" fillId="0" borderId="7" xfId="0" applyFont="1" applyFill="1" applyBorder="1" applyAlignment="1">
      <alignment horizontal="left" vertical="center" wrapText="1"/>
    </xf>
    <xf numFmtId="0" fontId="213" fillId="76" borderId="0" xfId="0" applyFont="1" applyFill="1" applyAlignment="1">
      <alignment horizontal="left"/>
    </xf>
    <xf numFmtId="0" fontId="213" fillId="76" borderId="1" xfId="0" applyFont="1" applyFill="1" applyBorder="1" applyAlignment="1">
      <alignment horizontal="left"/>
    </xf>
    <xf numFmtId="0" fontId="214" fillId="76" borderId="13" xfId="0" applyFont="1" applyFill="1" applyBorder="1" applyAlignment="1">
      <alignment horizontal="left" vertical="center" wrapText="1"/>
    </xf>
    <xf numFmtId="165" fontId="214" fillId="76" borderId="1" xfId="0" applyNumberFormat="1" applyFont="1" applyFill="1" applyBorder="1" applyAlignment="1">
      <alignment horizontal="left" vertical="center"/>
    </xf>
    <xf numFmtId="0" fontId="215" fillId="76" borderId="0" xfId="0" applyFont="1" applyFill="1"/>
    <xf numFmtId="0" fontId="210" fillId="0" borderId="3" xfId="40" applyFont="1" applyFill="1" applyBorder="1" applyAlignment="1">
      <alignment horizontal="left" vertical="center" wrapText="1"/>
    </xf>
    <xf numFmtId="164" fontId="210" fillId="0" borderId="1" xfId="40" applyNumberFormat="1" applyFont="1" applyFill="1" applyBorder="1" applyAlignment="1">
      <alignment horizontal="left" vertical="center"/>
    </xf>
    <xf numFmtId="164" fontId="130" fillId="0" borderId="1" xfId="40" applyNumberFormat="1" applyFont="1" applyFill="1" applyBorder="1" applyAlignment="1">
      <alignment horizontal="left" vertical="center"/>
    </xf>
    <xf numFmtId="0" fontId="210" fillId="0" borderId="13" xfId="0" applyFont="1" applyFill="1" applyBorder="1" applyAlignment="1">
      <alignment horizontal="left" vertical="center" wrapText="1"/>
    </xf>
    <xf numFmtId="197" fontId="210" fillId="0" borderId="1" xfId="0" applyNumberFormat="1" applyFont="1" applyFill="1" applyBorder="1" applyAlignment="1">
      <alignment horizontal="left" vertical="center"/>
    </xf>
    <xf numFmtId="165" fontId="210" fillId="0" borderId="1" xfId="40" applyNumberFormat="1" applyFont="1" applyFill="1" applyBorder="1" applyAlignment="1">
      <alignment horizontal="left" vertical="center"/>
    </xf>
    <xf numFmtId="49" fontId="130" fillId="76" borderId="3" xfId="70" applyNumberFormat="1" applyFont="1" applyFill="1" applyBorder="1" applyAlignment="1">
      <alignment horizontal="left" vertical="center"/>
    </xf>
    <xf numFmtId="0" fontId="130" fillId="76" borderId="1" xfId="70" applyFont="1" applyFill="1" applyBorder="1" applyAlignment="1">
      <alignment horizontal="left" vertical="center" wrapText="1"/>
    </xf>
    <xf numFmtId="164" fontId="130" fillId="76" borderId="19" xfId="70" applyNumberFormat="1" applyFont="1" applyFill="1" applyBorder="1" applyAlignment="1">
      <alignment horizontal="left" vertical="center" wrapText="1"/>
    </xf>
    <xf numFmtId="164" fontId="130" fillId="76" borderId="1" xfId="70" applyNumberFormat="1" applyFont="1" applyFill="1" applyBorder="1" applyAlignment="1">
      <alignment horizontal="left" vertical="center"/>
    </xf>
    <xf numFmtId="0" fontId="130" fillId="0" borderId="1" xfId="70" applyFont="1" applyFill="1" applyBorder="1" applyAlignment="1">
      <alignment horizontal="left" vertical="center" wrapText="1"/>
    </xf>
    <xf numFmtId="164" fontId="208" fillId="0" borderId="1" xfId="49" applyNumberFormat="1" applyFont="1" applyFill="1" applyBorder="1" applyAlignment="1">
      <alignment horizontal="left" vertical="center"/>
    </xf>
    <xf numFmtId="49" fontId="130" fillId="0" borderId="3" xfId="70" applyNumberFormat="1" applyFont="1" applyFill="1" applyBorder="1" applyAlignment="1">
      <alignment horizontal="left" vertical="center"/>
    </xf>
    <xf numFmtId="0" fontId="130" fillId="0" borderId="7" xfId="70" applyFont="1" applyFill="1" applyBorder="1" applyAlignment="1">
      <alignment horizontal="left" vertical="center"/>
    </xf>
    <xf numFmtId="164" fontId="130" fillId="0" borderId="1" xfId="70" applyNumberFormat="1" applyFont="1" applyFill="1" applyBorder="1" applyAlignment="1">
      <alignment horizontal="left" vertical="center"/>
    </xf>
    <xf numFmtId="0" fontId="130" fillId="0" borderId="1" xfId="0" applyFont="1" applyFill="1" applyBorder="1" applyAlignment="1">
      <alignment horizontal="left" vertical="top" wrapText="1"/>
    </xf>
    <xf numFmtId="0" fontId="130" fillId="0" borderId="7" xfId="70" applyFont="1" applyFill="1" applyBorder="1" applyAlignment="1">
      <alignment horizontal="left" vertical="center" wrapText="1"/>
    </xf>
    <xf numFmtId="0" fontId="0" fillId="0" borderId="0" xfId="0" applyFont="1" applyFill="1"/>
    <xf numFmtId="0" fontId="210" fillId="0" borderId="7" xfId="0" applyFont="1" applyFill="1" applyBorder="1" applyAlignment="1">
      <alignment horizontal="left" vertical="center" wrapText="1"/>
    </xf>
    <xf numFmtId="166" fontId="210" fillId="0" borderId="1" xfId="58" applyNumberFormat="1" applyFont="1" applyFill="1" applyBorder="1" applyAlignment="1">
      <alignment horizontal="left" vertical="center" wrapText="1"/>
    </xf>
    <xf numFmtId="49" fontId="210" fillId="0" borderId="7" xfId="0" applyNumberFormat="1" applyFont="1" applyFill="1" applyBorder="1" applyAlignment="1">
      <alignment horizontal="left" vertical="center" wrapText="1"/>
    </xf>
    <xf numFmtId="0" fontId="216" fillId="0" borderId="1" xfId="0" applyFont="1" applyFill="1" applyBorder="1" applyAlignment="1">
      <alignment vertical="center" wrapText="1"/>
    </xf>
    <xf numFmtId="4" fontId="216" fillId="0" borderId="7" xfId="0" applyNumberFormat="1" applyFont="1" applyFill="1" applyBorder="1" applyAlignment="1">
      <alignment vertical="center"/>
    </xf>
    <xf numFmtId="0" fontId="210" fillId="76" borderId="1" xfId="0" applyFont="1" applyFill="1" applyBorder="1" applyAlignment="1">
      <alignment horizontal="left" wrapText="1"/>
    </xf>
    <xf numFmtId="3" fontId="210" fillId="76" borderId="1" xfId="0" applyNumberFormat="1" applyFont="1" applyFill="1" applyBorder="1" applyAlignment="1">
      <alignment horizontal="left"/>
    </xf>
    <xf numFmtId="3" fontId="210" fillId="0" borderId="1" xfId="0" applyNumberFormat="1" applyFont="1" applyFill="1" applyBorder="1" applyAlignment="1">
      <alignment horizontal="left"/>
    </xf>
    <xf numFmtId="0" fontId="210" fillId="0" borderId="1" xfId="0" applyFont="1" applyFill="1" applyBorder="1" applyAlignment="1">
      <alignment horizontal="left" vertical="center" wrapText="1"/>
    </xf>
    <xf numFmtId="0" fontId="210" fillId="0" borderId="1" xfId="0" quotePrefix="1" applyFont="1" applyFill="1" applyBorder="1" applyAlignment="1">
      <alignment horizontal="left" wrapText="1"/>
    </xf>
    <xf numFmtId="167" fontId="210" fillId="0" borderId="1" xfId="58" applyNumberFormat="1" applyFont="1" applyFill="1" applyBorder="1" applyAlignment="1">
      <alignment horizontal="left" vertical="center" wrapText="1"/>
    </xf>
    <xf numFmtId="0" fontId="210" fillId="0" borderId="1" xfId="0" quotePrefix="1" applyFont="1" applyFill="1" applyBorder="1" applyAlignment="1">
      <alignment horizontal="left" vertical="center" wrapText="1"/>
    </xf>
    <xf numFmtId="0" fontId="130" fillId="77" borderId="0" xfId="0" applyFont="1" applyFill="1" applyAlignment="1">
      <alignment horizontal="left"/>
    </xf>
    <xf numFmtId="0" fontId="130" fillId="77" borderId="1" xfId="0" applyFont="1" applyFill="1" applyBorder="1" applyAlignment="1">
      <alignment horizontal="left"/>
    </xf>
    <xf numFmtId="0" fontId="130" fillId="77" borderId="0" xfId="0" quotePrefix="1" applyFont="1" applyFill="1" applyAlignment="1">
      <alignment horizontal="left" wrapText="1"/>
    </xf>
    <xf numFmtId="164" fontId="130" fillId="77" borderId="1" xfId="0" applyNumberFormat="1" applyFont="1" applyFill="1" applyBorder="1" applyAlignment="1">
      <alignment horizontal="left" vertical="center"/>
    </xf>
    <xf numFmtId="0" fontId="0" fillId="77" borderId="0" xfId="0" applyFill="1"/>
    <xf numFmtId="0" fontId="130" fillId="0" borderId="0" xfId="0" applyFont="1" applyFill="1" applyAlignment="1">
      <alignment horizontal="center"/>
    </xf>
    <xf numFmtId="0" fontId="153" fillId="0" borderId="1" xfId="0" applyFont="1" applyFill="1" applyBorder="1" applyAlignment="1">
      <alignment horizontal="left" vertical="top" wrapText="1"/>
    </xf>
    <xf numFmtId="0" fontId="130" fillId="0" borderId="14" xfId="49" applyFont="1" applyFill="1" applyBorder="1" applyAlignment="1">
      <alignment horizontal="left" vertical="center" wrapText="1"/>
    </xf>
    <xf numFmtId="164" fontId="210" fillId="0" borderId="1" xfId="0" applyNumberFormat="1" applyFont="1" applyFill="1" applyBorder="1" applyAlignment="1">
      <alignment horizontal="left" vertical="center"/>
    </xf>
    <xf numFmtId="0" fontId="209" fillId="0" borderId="14" xfId="49" applyFont="1" applyFill="1" applyBorder="1" applyAlignment="1">
      <alignment horizontal="left" vertical="center" wrapText="1"/>
    </xf>
    <xf numFmtId="165" fontId="130" fillId="0" borderId="14" xfId="49" applyNumberFormat="1" applyFont="1" applyFill="1" applyBorder="1" applyAlignment="1">
      <alignment horizontal="left" vertical="center" wrapText="1"/>
    </xf>
    <xf numFmtId="0" fontId="130" fillId="0" borderId="1" xfId="49" applyFont="1" applyFill="1" applyBorder="1" applyAlignment="1">
      <alignment horizontal="left" vertical="center" wrapText="1"/>
    </xf>
    <xf numFmtId="164" fontId="209" fillId="0" borderId="1" xfId="49" applyNumberFormat="1" applyFont="1" applyFill="1" applyBorder="1" applyAlignment="1">
      <alignment horizontal="left" vertical="center" wrapText="1"/>
    </xf>
    <xf numFmtId="0" fontId="130" fillId="0" borderId="1" xfId="678" applyFont="1" applyFill="1" applyBorder="1" applyAlignment="1">
      <alignment horizontal="left" vertical="justify"/>
    </xf>
    <xf numFmtId="0" fontId="130" fillId="0" borderId="2" xfId="678" applyFont="1" applyFill="1" applyBorder="1" applyAlignment="1">
      <alignment horizontal="left" vertical="justify"/>
    </xf>
    <xf numFmtId="0" fontId="130" fillId="0" borderId="7" xfId="0" applyFont="1" applyFill="1" applyBorder="1" applyAlignment="1">
      <alignment horizontal="left" wrapText="1"/>
    </xf>
    <xf numFmtId="164" fontId="130" fillId="0" borderId="1" xfId="0" applyNumberFormat="1" applyFont="1" applyFill="1" applyBorder="1" applyAlignment="1">
      <alignment horizontal="left"/>
    </xf>
    <xf numFmtId="0" fontId="130" fillId="76" borderId="5" xfId="0" applyFont="1" applyFill="1" applyBorder="1" applyAlignment="1">
      <alignment horizontal="left" vertical="center" wrapText="1"/>
    </xf>
    <xf numFmtId="196" fontId="130" fillId="76" borderId="5" xfId="0" applyNumberFormat="1" applyFont="1" applyFill="1" applyBorder="1" applyAlignment="1">
      <alignment horizontal="left"/>
    </xf>
    <xf numFmtId="0" fontId="130" fillId="0" borderId="5" xfId="0" applyFont="1" applyFill="1" applyBorder="1" applyAlignment="1">
      <alignment horizontal="left" vertical="center" wrapText="1"/>
    </xf>
    <xf numFmtId="196" fontId="130" fillId="0" borderId="5" xfId="0" applyNumberFormat="1" applyFont="1" applyFill="1" applyBorder="1" applyAlignment="1">
      <alignment horizontal="left"/>
    </xf>
    <xf numFmtId="196" fontId="130" fillId="0" borderId="1" xfId="0" applyNumberFormat="1" applyFont="1" applyFill="1" applyBorder="1" applyAlignment="1">
      <alignment horizontal="left"/>
    </xf>
    <xf numFmtId="165" fontId="130" fillId="0" borderId="1" xfId="0" applyNumberFormat="1" applyFont="1" applyFill="1" applyBorder="1" applyAlignment="1">
      <alignment horizontal="left"/>
    </xf>
    <xf numFmtId="198" fontId="130" fillId="0" borderId="5" xfId="0" applyNumberFormat="1" applyFont="1" applyFill="1" applyBorder="1" applyAlignment="1">
      <alignment horizontal="left"/>
    </xf>
    <xf numFmtId="0" fontId="130" fillId="0" borderId="65" xfId="0" applyFont="1" applyFill="1" applyBorder="1" applyAlignment="1">
      <alignment horizontal="left" vertical="center" wrapText="1"/>
    </xf>
    <xf numFmtId="198" fontId="130" fillId="0" borderId="1" xfId="0" applyNumberFormat="1" applyFont="1" applyFill="1" applyBorder="1" applyAlignment="1">
      <alignment horizontal="left"/>
    </xf>
    <xf numFmtId="0" fontId="130" fillId="78" borderId="0" xfId="0" applyFont="1" applyFill="1" applyAlignment="1">
      <alignment horizontal="left"/>
    </xf>
    <xf numFmtId="49" fontId="130" fillId="78" borderId="66" xfId="0" applyNumberFormat="1" applyFont="1" applyFill="1" applyBorder="1" applyAlignment="1">
      <alignment horizontal="left" vertical="center"/>
    </xf>
    <xf numFmtId="49" fontId="130" fillId="78" borderId="67" xfId="0" applyNumberFormat="1" applyFont="1" applyFill="1" applyBorder="1" applyAlignment="1">
      <alignment horizontal="left" vertical="center"/>
    </xf>
    <xf numFmtId="1" fontId="34" fillId="78" borderId="1" xfId="0" applyNumberFormat="1" applyFont="1" applyFill="1" applyBorder="1" applyAlignment="1">
      <alignment vertical="center" wrapText="1"/>
    </xf>
    <xf numFmtId="198" fontId="130" fillId="78" borderId="1" xfId="0" applyNumberFormat="1" applyFont="1" applyFill="1" applyBorder="1" applyAlignment="1">
      <alignment horizontal="left"/>
    </xf>
    <xf numFmtId="0" fontId="0" fillId="78" borderId="0" xfId="0" applyFont="1" applyFill="1"/>
    <xf numFmtId="49" fontId="210" fillId="0" borderId="66" xfId="0" applyNumberFormat="1" applyFont="1" applyFill="1" applyBorder="1" applyAlignment="1">
      <alignment horizontal="left" vertical="center"/>
    </xf>
    <xf numFmtId="49" fontId="210" fillId="0" borderId="67" xfId="0" applyNumberFormat="1" applyFont="1" applyFill="1" applyBorder="1" applyAlignment="1">
      <alignment horizontal="left" vertical="center"/>
    </xf>
    <xf numFmtId="1" fontId="150" fillId="0" borderId="1" xfId="0" applyNumberFormat="1" applyFont="1" applyFill="1" applyBorder="1" applyAlignment="1">
      <alignment vertical="center" wrapText="1"/>
    </xf>
    <xf numFmtId="1" fontId="150" fillId="0" borderId="7" xfId="0" applyNumberFormat="1" applyFont="1" applyFill="1" applyBorder="1" applyAlignment="1">
      <alignment vertical="center" wrapText="1"/>
    </xf>
    <xf numFmtId="1" fontId="210" fillId="0" borderId="7" xfId="0" applyNumberFormat="1" applyFont="1" applyFill="1" applyBorder="1" applyAlignment="1">
      <alignment horizontal="left" vertical="top" wrapText="1"/>
    </xf>
    <xf numFmtId="49" fontId="210" fillId="76" borderId="66" xfId="0" applyNumberFormat="1" applyFont="1" applyFill="1" applyBorder="1" applyAlignment="1">
      <alignment horizontal="left" vertical="center"/>
    </xf>
    <xf numFmtId="0" fontId="130" fillId="76" borderId="67" xfId="0" applyFont="1" applyFill="1" applyBorder="1" applyAlignment="1">
      <alignment horizontal="left"/>
    </xf>
    <xf numFmtId="1" fontId="210" fillId="76" borderId="7" xfId="0" applyNumberFormat="1" applyFont="1" applyFill="1" applyBorder="1" applyAlignment="1">
      <alignment horizontal="left" vertical="top" wrapText="1"/>
    </xf>
    <xf numFmtId="164" fontId="210" fillId="76" borderId="1" xfId="0" applyNumberFormat="1" applyFont="1" applyFill="1" applyBorder="1" applyAlignment="1">
      <alignment horizontal="left" vertical="center"/>
    </xf>
    <xf numFmtId="0" fontId="130" fillId="0" borderId="67" xfId="0" applyFont="1" applyFill="1" applyBorder="1" applyAlignment="1">
      <alignment horizontal="left"/>
    </xf>
    <xf numFmtId="3" fontId="130" fillId="0" borderId="1" xfId="0" applyNumberFormat="1" applyFont="1" applyFill="1" applyBorder="1" applyAlignment="1">
      <alignment horizontal="left" wrapText="1"/>
    </xf>
    <xf numFmtId="3" fontId="130" fillId="0" borderId="1" xfId="0" applyNumberFormat="1" applyFont="1" applyFill="1" applyBorder="1" applyAlignment="1">
      <alignment horizontal="left"/>
    </xf>
    <xf numFmtId="0" fontId="130" fillId="21" borderId="0" xfId="0" applyFont="1" applyFill="1" applyAlignment="1">
      <alignment horizontal="left"/>
    </xf>
    <xf numFmtId="49" fontId="210" fillId="21" borderId="66" xfId="0" applyNumberFormat="1" applyFont="1" applyFill="1" applyBorder="1" applyAlignment="1">
      <alignment horizontal="left" vertical="center"/>
    </xf>
    <xf numFmtId="49" fontId="210" fillId="21" borderId="67" xfId="0" applyNumberFormat="1" applyFont="1" applyFill="1" applyBorder="1" applyAlignment="1">
      <alignment horizontal="left" vertical="center"/>
    </xf>
    <xf numFmtId="0" fontId="130" fillId="21" borderId="1" xfId="0" applyFont="1" applyFill="1" applyBorder="1" applyAlignment="1">
      <alignment horizontal="left" vertical="center" wrapText="1"/>
    </xf>
    <xf numFmtId="3" fontId="210" fillId="21" borderId="1" xfId="0" applyNumberFormat="1" applyFont="1" applyFill="1" applyBorder="1" applyAlignment="1">
      <alignment horizontal="left"/>
    </xf>
    <xf numFmtId="0" fontId="0" fillId="21" borderId="0" xfId="0" applyFill="1"/>
    <xf numFmtId="49" fontId="210" fillId="76" borderId="67" xfId="0" applyNumberFormat="1" applyFont="1" applyFill="1" applyBorder="1" applyAlignment="1">
      <alignment horizontal="left" vertical="center"/>
    </xf>
    <xf numFmtId="0" fontId="130" fillId="0" borderId="6" xfId="0" applyFont="1" applyFill="1" applyBorder="1" applyAlignment="1">
      <alignment horizontal="left" vertical="top" wrapText="1"/>
    </xf>
    <xf numFmtId="0" fontId="130" fillId="0" borderId="68" xfId="0" applyFont="1" applyFill="1" applyBorder="1" applyAlignment="1">
      <alignment horizontal="left" vertical="top" wrapText="1"/>
    </xf>
    <xf numFmtId="43" fontId="130" fillId="0" borderId="3" xfId="58" applyFont="1" applyFill="1" applyBorder="1" applyAlignment="1">
      <alignment horizontal="left" vertical="center"/>
    </xf>
    <xf numFmtId="49" fontId="210" fillId="0" borderId="1" xfId="0" applyNumberFormat="1" applyFont="1" applyFill="1" applyBorder="1" applyAlignment="1">
      <alignment horizontal="left" vertical="top" wrapText="1"/>
    </xf>
    <xf numFmtId="43" fontId="210" fillId="0" borderId="1" xfId="58" applyFont="1" applyFill="1" applyBorder="1" applyAlignment="1">
      <alignment horizontal="left" vertical="center" wrapText="1"/>
    </xf>
    <xf numFmtId="43" fontId="130" fillId="0" borderId="6" xfId="58" applyFont="1" applyFill="1" applyBorder="1" applyAlignment="1">
      <alignment horizontal="left" vertical="center" wrapText="1"/>
    </xf>
    <xf numFmtId="49" fontId="141" fillId="34" borderId="66" xfId="0" applyNumberFormat="1" applyFont="1" applyFill="1" applyBorder="1" applyAlignment="1">
      <alignment horizontal="center" vertical="center"/>
    </xf>
    <xf numFmtId="49" fontId="141" fillId="34" borderId="69" xfId="0" applyNumberFormat="1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top" wrapText="1"/>
    </xf>
    <xf numFmtId="164" fontId="141" fillId="34" borderId="14" xfId="0" applyNumberFormat="1" applyFont="1" applyFill="1" applyBorder="1" applyAlignment="1">
      <alignment horizontal="right" vertical="center"/>
    </xf>
    <xf numFmtId="49" fontId="141" fillId="34" borderId="70" xfId="0" applyNumberFormat="1" applyFont="1" applyFill="1" applyBorder="1" applyAlignment="1">
      <alignment horizontal="center" vertical="center"/>
    </xf>
    <xf numFmtId="49" fontId="141" fillId="34" borderId="0" xfId="0" applyNumberFormat="1" applyFont="1" applyFill="1" applyBorder="1" applyAlignment="1">
      <alignment horizontal="center" vertical="center"/>
    </xf>
    <xf numFmtId="1" fontId="141" fillId="34" borderId="0" xfId="0" applyNumberFormat="1" applyFont="1" applyFill="1" applyBorder="1" applyAlignment="1">
      <alignment vertical="top" wrapText="1"/>
    </xf>
    <xf numFmtId="164" fontId="141" fillId="34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141" fillId="34" borderId="0" xfId="0" applyNumberFormat="1" applyFont="1" applyFill="1" applyBorder="1" applyAlignment="1">
      <alignment horizontal="center" vertical="center"/>
    </xf>
    <xf numFmtId="0" fontId="150" fillId="34" borderId="0" xfId="0" applyFont="1" applyFill="1" applyBorder="1" applyAlignment="1">
      <alignment horizontal="center"/>
    </xf>
    <xf numFmtId="49" fontId="150" fillId="34" borderId="0" xfId="0" applyNumberFormat="1" applyFont="1" applyFill="1" applyBorder="1" applyAlignment="1">
      <alignment horizontal="center" vertical="center"/>
    </xf>
    <xf numFmtId="0" fontId="150" fillId="34" borderId="0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horizontal="center"/>
    </xf>
    <xf numFmtId="49" fontId="24" fillId="0" borderId="0" xfId="0" applyNumberFormat="1" applyFont="1" applyAlignment="1"/>
    <xf numFmtId="0" fontId="31" fillId="0" borderId="0" xfId="0" applyFont="1" applyAlignment="1"/>
    <xf numFmtId="0" fontId="21" fillId="31" borderId="0" xfId="0" applyFont="1" applyFill="1" applyAlignment="1">
      <alignment vertical="center" wrapText="1"/>
    </xf>
    <xf numFmtId="0" fontId="21" fillId="36" borderId="0" xfId="0" applyFont="1" applyFill="1" applyAlignment="1">
      <alignment vertical="center" wrapText="1"/>
    </xf>
    <xf numFmtId="0" fontId="21" fillId="22" borderId="0" xfId="0" applyFont="1" applyFill="1" applyAlignment="1">
      <alignment vertical="center" wrapText="1"/>
    </xf>
    <xf numFmtId="10" fontId="19" fillId="0" borderId="0" xfId="0" applyNumberFormat="1" applyFont="1" applyAlignment="1">
      <alignment vertical="center"/>
    </xf>
    <xf numFmtId="0" fontId="21" fillId="0" borderId="0" xfId="0" quotePrefix="1" applyFont="1" applyAlignment="1">
      <alignment vertical="center" wrapText="1"/>
    </xf>
    <xf numFmtId="49" fontId="24" fillId="20" borderId="0" xfId="0" applyNumberFormat="1" applyFont="1" applyFill="1" applyAlignment="1">
      <alignment vertical="center"/>
    </xf>
    <xf numFmtId="0" fontId="24" fillId="20" borderId="0" xfId="0" applyFont="1" applyFill="1" applyAlignment="1">
      <alignment vertical="center" wrapText="1"/>
    </xf>
    <xf numFmtId="164" fontId="24" fillId="20" borderId="0" xfId="0" applyNumberFormat="1" applyFont="1" applyFill="1" applyAlignment="1">
      <alignment vertical="center"/>
    </xf>
    <xf numFmtId="0" fontId="19" fillId="20" borderId="0" xfId="0" applyFont="1" applyFill="1" applyAlignment="1">
      <alignment vertical="center"/>
    </xf>
    <xf numFmtId="49" fontId="19" fillId="27" borderId="0" xfId="0" applyNumberFormat="1" applyFont="1" applyFill="1" applyAlignment="1">
      <alignment vertical="center"/>
    </xf>
    <xf numFmtId="0" fontId="17" fillId="0" borderId="0" xfId="0" applyFont="1" applyAlignment="1">
      <alignment horizontal="center"/>
    </xf>
    <xf numFmtId="0" fontId="19" fillId="0" borderId="5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21" fillId="21" borderId="0" xfId="0" applyFont="1" applyFill="1" applyAlignment="1">
      <alignment vertical="center" wrapText="1"/>
    </xf>
    <xf numFmtId="0" fontId="21" fillId="43" borderId="0" xfId="0" applyFont="1" applyFill="1" applyAlignment="1">
      <alignment vertical="center" wrapText="1"/>
    </xf>
    <xf numFmtId="164" fontId="19" fillId="0" borderId="0" xfId="0" applyNumberFormat="1" applyFont="1"/>
    <xf numFmtId="164" fontId="23" fillId="0" borderId="0" xfId="0" applyNumberFormat="1" applyFont="1"/>
    <xf numFmtId="0" fontId="21" fillId="26" borderId="0" xfId="0" applyFont="1" applyFill="1" applyAlignment="1">
      <alignment vertical="center" wrapText="1"/>
    </xf>
    <xf numFmtId="0" fontId="21" fillId="29" borderId="0" xfId="0" applyFont="1" applyFill="1" applyAlignment="1">
      <alignment vertical="center" wrapText="1"/>
    </xf>
    <xf numFmtId="0" fontId="21" fillId="28" borderId="0" xfId="0" applyFont="1" applyFill="1" applyAlignment="1">
      <alignment vertical="center" wrapText="1"/>
    </xf>
    <xf numFmtId="0" fontId="21" fillId="35" borderId="0" xfId="0" applyFont="1" applyFill="1" applyAlignment="1">
      <alignment vertical="center" wrapText="1"/>
    </xf>
    <xf numFmtId="164" fontId="19" fillId="0" borderId="39" xfId="0" applyNumberFormat="1" applyFont="1" applyBorder="1" applyAlignment="1">
      <alignment vertical="center"/>
    </xf>
    <xf numFmtId="0" fontId="133" fillId="0" borderId="0" xfId="681" applyFont="1" applyFill="1" applyBorder="1"/>
    <xf numFmtId="0" fontId="132" fillId="0" borderId="72" xfId="681" applyFont="1" applyFill="1" applyBorder="1" applyAlignment="1">
      <alignment horizontal="center" vertical="center"/>
    </xf>
    <xf numFmtId="1" fontId="132" fillId="0" borderId="72" xfId="681" applyNumberFormat="1" applyFont="1" applyFill="1" applyBorder="1" applyAlignment="1">
      <alignment horizontal="center" vertical="center"/>
    </xf>
    <xf numFmtId="1" fontId="132" fillId="0" borderId="22" xfId="681" applyNumberFormat="1" applyFont="1" applyFill="1" applyBorder="1" applyAlignment="1">
      <alignment horizontal="center" vertical="center"/>
    </xf>
    <xf numFmtId="1" fontId="132" fillId="0" borderId="73" xfId="681" applyNumberFormat="1" applyFont="1" applyFill="1" applyBorder="1" applyAlignment="1">
      <alignment horizontal="center"/>
    </xf>
    <xf numFmtId="1" fontId="132" fillId="0" borderId="72" xfId="681" applyNumberFormat="1" applyFont="1" applyFill="1" applyBorder="1" applyAlignment="1">
      <alignment horizontal="center"/>
    </xf>
    <xf numFmtId="0" fontId="132" fillId="0" borderId="0" xfId="681" applyFont="1" applyFill="1" applyBorder="1" applyAlignment="1">
      <alignment horizontal="center"/>
    </xf>
    <xf numFmtId="0" fontId="132" fillId="0" borderId="39" xfId="681" applyFont="1" applyFill="1" applyBorder="1" applyAlignment="1">
      <alignment horizontal="left" vertical="center" wrapText="1"/>
    </xf>
    <xf numFmtId="164" fontId="132" fillId="0" borderId="39" xfId="681" applyNumberFormat="1" applyFont="1" applyFill="1" applyBorder="1" applyAlignment="1">
      <alignment horizontal="right" wrapText="1"/>
    </xf>
    <xf numFmtId="164" fontId="132" fillId="0" borderId="2" xfId="681" applyNumberFormat="1" applyFont="1" applyFill="1" applyBorder="1" applyAlignment="1">
      <alignment horizontal="right" wrapText="1"/>
    </xf>
    <xf numFmtId="164" fontId="132" fillId="0" borderId="39" xfId="681" applyNumberFormat="1" applyFont="1" applyFill="1" applyBorder="1" applyAlignment="1">
      <alignment horizontal="right"/>
    </xf>
    <xf numFmtId="164" fontId="132" fillId="0" borderId="18" xfId="682" applyNumberFormat="1" applyFont="1" applyBorder="1" applyAlignment="1">
      <alignment horizontal="right"/>
    </xf>
    <xf numFmtId="0" fontId="132" fillId="0" borderId="2" xfId="681" applyFont="1" applyFill="1" applyBorder="1" applyAlignment="1">
      <alignment horizontal="left" vertical="center" wrapText="1"/>
    </xf>
    <xf numFmtId="164" fontId="132" fillId="0" borderId="52" xfId="682" applyNumberFormat="1" applyFont="1" applyBorder="1" applyAlignment="1">
      <alignment horizontal="right"/>
    </xf>
    <xf numFmtId="0" fontId="132" fillId="0" borderId="0" xfId="681" applyFont="1" applyFill="1" applyBorder="1"/>
    <xf numFmtId="0" fontId="133" fillId="0" borderId="2" xfId="681" applyFont="1" applyFill="1" applyBorder="1" applyAlignment="1">
      <alignment horizontal="left" vertical="center" wrapText="1"/>
    </xf>
    <xf numFmtId="164" fontId="133" fillId="0" borderId="39" xfId="681" applyNumberFormat="1" applyFont="1" applyFill="1" applyBorder="1" applyAlignment="1">
      <alignment horizontal="right" wrapText="1"/>
    </xf>
    <xf numFmtId="164" fontId="133" fillId="0" borderId="52" xfId="681" applyNumberFormat="1" applyFont="1" applyFill="1" applyBorder="1" applyAlignment="1">
      <alignment horizontal="right" wrapText="1"/>
    </xf>
    <xf numFmtId="164" fontId="133" fillId="0" borderId="0" xfId="681" applyNumberFormat="1" applyFont="1" applyFill="1" applyBorder="1"/>
    <xf numFmtId="164" fontId="219" fillId="0" borderId="39" xfId="681" applyNumberFormat="1" applyFont="1" applyFill="1" applyBorder="1" applyAlignment="1">
      <alignment horizontal="right" wrapText="1"/>
    </xf>
    <xf numFmtId="164" fontId="133" fillId="0" borderId="52" xfId="681" applyNumberFormat="1" applyFont="1" applyFill="1" applyBorder="1" applyAlignment="1">
      <alignment horizontal="right"/>
    </xf>
    <xf numFmtId="0" fontId="133" fillId="0" borderId="39" xfId="681" applyFont="1" applyFill="1" applyBorder="1"/>
    <xf numFmtId="164" fontId="133" fillId="0" borderId="0" xfId="681" applyNumberFormat="1" applyFont="1" applyFill="1" applyBorder="1" applyAlignment="1">
      <alignment horizontal="right"/>
    </xf>
    <xf numFmtId="0" fontId="133" fillId="0" borderId="39" xfId="681" applyFont="1" applyFill="1" applyBorder="1" applyAlignment="1">
      <alignment horizontal="left" vertical="center" wrapText="1"/>
    </xf>
    <xf numFmtId="164" fontId="133" fillId="0" borderId="2" xfId="681" applyNumberFormat="1" applyFont="1" applyFill="1" applyBorder="1" applyAlignment="1">
      <alignment horizontal="right" wrapText="1"/>
    </xf>
    <xf numFmtId="164" fontId="133" fillId="0" borderId="39" xfId="681" applyNumberFormat="1" applyFont="1" applyFill="1" applyBorder="1" applyAlignment="1">
      <alignment horizontal="right"/>
    </xf>
    <xf numFmtId="0" fontId="220" fillId="0" borderId="39" xfId="681" applyFont="1" applyFill="1" applyBorder="1" applyAlignment="1">
      <alignment horizontal="left" vertical="center" wrapText="1"/>
    </xf>
    <xf numFmtId="164" fontId="220" fillId="0" borderId="39" xfId="681" applyNumberFormat="1" applyFont="1" applyFill="1" applyBorder="1" applyAlignment="1">
      <alignment horizontal="right" wrapText="1"/>
    </xf>
    <xf numFmtId="164" fontId="220" fillId="0" borderId="2" xfId="681" applyNumberFormat="1" applyFont="1" applyFill="1" applyBorder="1" applyAlignment="1">
      <alignment horizontal="right" wrapText="1"/>
    </xf>
    <xf numFmtId="164" fontId="220" fillId="0" borderId="39" xfId="681" applyNumberFormat="1" applyFont="1" applyFill="1" applyBorder="1" applyAlignment="1">
      <alignment horizontal="right"/>
    </xf>
    <xf numFmtId="164" fontId="220" fillId="0" borderId="52" xfId="681" applyNumberFormat="1" applyFont="1" applyFill="1" applyBorder="1" applyAlignment="1">
      <alignment horizontal="right"/>
    </xf>
    <xf numFmtId="0" fontId="220" fillId="0" borderId="0" xfId="681" applyFont="1" applyFill="1" applyBorder="1"/>
    <xf numFmtId="164" fontId="206" fillId="0" borderId="0" xfId="681" applyNumberFormat="1" applyFont="1" applyAlignment="1">
      <alignment horizontal="right"/>
    </xf>
    <xf numFmtId="164" fontId="132" fillId="0" borderId="52" xfId="681" applyNumberFormat="1" applyFont="1" applyFill="1" applyBorder="1" applyAlignment="1">
      <alignment horizontal="right"/>
    </xf>
    <xf numFmtId="0" fontId="133" fillId="20" borderId="39" xfId="681" applyFont="1" applyFill="1" applyBorder="1" applyAlignment="1">
      <alignment horizontal="left" vertical="center" wrapText="1"/>
    </xf>
    <xf numFmtId="164" fontId="133" fillId="20" borderId="39" xfId="681" applyNumberFormat="1" applyFont="1" applyFill="1" applyBorder="1" applyAlignment="1">
      <alignment horizontal="right" wrapText="1"/>
    </xf>
    <xf numFmtId="164" fontId="133" fillId="20" borderId="2" xfId="681" applyNumberFormat="1" applyFont="1" applyFill="1" applyBorder="1" applyAlignment="1">
      <alignment horizontal="right" wrapText="1"/>
    </xf>
    <xf numFmtId="164" fontId="133" fillId="20" borderId="39" xfId="681" applyNumberFormat="1" applyFont="1" applyFill="1" applyBorder="1" applyAlignment="1">
      <alignment horizontal="right"/>
    </xf>
    <xf numFmtId="164" fontId="133" fillId="79" borderId="52" xfId="681" applyNumberFormat="1" applyFont="1" applyFill="1" applyBorder="1" applyAlignment="1">
      <alignment horizontal="right"/>
    </xf>
    <xf numFmtId="0" fontId="133" fillId="20" borderId="0" xfId="681" applyFont="1" applyFill="1" applyBorder="1"/>
    <xf numFmtId="168" fontId="206" fillId="0" borderId="0" xfId="681" applyNumberFormat="1" applyFont="1" applyFill="1" applyAlignment="1">
      <alignment horizontal="right"/>
    </xf>
    <xf numFmtId="164" fontId="133" fillId="0" borderId="52" xfId="681" applyNumberFormat="1" applyFont="1" applyFill="1" applyBorder="1"/>
    <xf numFmtId="4" fontId="133" fillId="0" borderId="39" xfId="681" applyNumberFormat="1" applyFont="1" applyFill="1" applyBorder="1"/>
    <xf numFmtId="164" fontId="132" fillId="0" borderId="0" xfId="681" applyNumberFormat="1" applyFont="1" applyFill="1" applyBorder="1" applyAlignment="1">
      <alignment horizontal="right"/>
    </xf>
    <xf numFmtId="164" fontId="133" fillId="0" borderId="0" xfId="681" applyNumberFormat="1" applyFont="1" applyFill="1" applyBorder="1" applyAlignment="1">
      <alignment horizontal="left"/>
    </xf>
    <xf numFmtId="0" fontId="133" fillId="0" borderId="0" xfId="681" applyFont="1" applyFill="1" applyBorder="1" applyAlignment="1">
      <alignment horizontal="left"/>
    </xf>
    <xf numFmtId="0" fontId="133" fillId="0" borderId="0" xfId="681" applyFont="1" applyFill="1" applyBorder="1" applyAlignment="1">
      <alignment horizontal="left" vertical="center"/>
    </xf>
    <xf numFmtId="3" fontId="133" fillId="0" borderId="0" xfId="681" applyNumberFormat="1" applyFont="1" applyFill="1" applyBorder="1" applyAlignment="1">
      <alignment horizontal="left" vertical="center"/>
    </xf>
    <xf numFmtId="0" fontId="133" fillId="0" borderId="0" xfId="681" applyFont="1" applyFill="1" applyBorder="1" applyAlignment="1">
      <alignment horizontal="right" vertical="center"/>
    </xf>
    <xf numFmtId="165" fontId="133" fillId="0" borderId="0" xfId="681" applyNumberFormat="1" applyFont="1" applyFill="1" applyBorder="1" applyAlignment="1">
      <alignment horizontal="right" vertical="center"/>
    </xf>
    <xf numFmtId="3" fontId="133" fillId="0" borderId="0" xfId="681" applyNumberFormat="1" applyFont="1" applyFill="1" applyBorder="1"/>
    <xf numFmtId="168" fontId="129" fillId="79" borderId="1" xfId="664" applyNumberFormat="1" applyFont="1" applyFill="1" applyBorder="1" applyAlignment="1">
      <alignment horizontal="right"/>
    </xf>
    <xf numFmtId="41" fontId="159" fillId="79" borderId="7" xfId="672" applyNumberFormat="1" applyFont="1" applyFill="1" applyBorder="1"/>
    <xf numFmtId="3" fontId="130" fillId="0" borderId="39" xfId="0" applyNumberFormat="1" applyFont="1" applyBorder="1"/>
    <xf numFmtId="0" fontId="9" fillId="0" borderId="0" xfId="0" applyFont="1" applyAlignment="1">
      <alignment vertical="center"/>
    </xf>
    <xf numFmtId="0" fontId="223" fillId="0" borderId="39" xfId="40" applyFont="1" applyBorder="1" applyAlignment="1">
      <alignment vertical="center"/>
    </xf>
    <xf numFmtId="0" fontId="9" fillId="0" borderId="39" xfId="4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3" fillId="0" borderId="39" xfId="40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/>
    </xf>
    <xf numFmtId="3" fontId="36" fillId="79" borderId="0" xfId="0" applyNumberFormat="1" applyFont="1" applyFill="1" applyBorder="1" applyAlignment="1">
      <alignment vertical="center"/>
    </xf>
    <xf numFmtId="3" fontId="36" fillId="20" borderId="0" xfId="0" applyNumberFormat="1" applyFont="1" applyFill="1" applyBorder="1" applyAlignment="1">
      <alignment vertical="center"/>
    </xf>
    <xf numFmtId="3" fontId="36" fillId="0" borderId="39" xfId="0" applyNumberFormat="1" applyFont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109" fillId="0" borderId="0" xfId="0" applyFont="1" applyBorder="1" applyAlignment="1">
      <alignment vertical="center" wrapText="1"/>
    </xf>
    <xf numFmtId="3" fontId="9" fillId="0" borderId="3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79" borderId="0" xfId="0" applyNumberFormat="1" applyFont="1" applyFill="1" applyBorder="1" applyAlignment="1">
      <alignment vertical="center"/>
    </xf>
    <xf numFmtId="3" fontId="9" fillId="31" borderId="0" xfId="0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36" fillId="0" borderId="39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3" fontId="36" fillId="0" borderId="0" xfId="0" applyNumberFormat="1" applyFont="1" applyAlignment="1">
      <alignment horizontal="center" vertical="center"/>
    </xf>
    <xf numFmtId="3" fontId="109" fillId="0" borderId="0" xfId="0" applyNumberFormat="1" applyFont="1" applyBorder="1" applyAlignment="1">
      <alignment vertical="center"/>
    </xf>
    <xf numFmtId="0" fontId="109" fillId="0" borderId="0" xfId="0" applyFont="1" applyAlignment="1">
      <alignment vertical="center"/>
    </xf>
    <xf numFmtId="3" fontId="109" fillId="0" borderId="39" xfId="0" applyNumberFormat="1" applyFont="1" applyBorder="1" applyAlignment="1">
      <alignment vertical="center"/>
    </xf>
    <xf numFmtId="3" fontId="109" fillId="0" borderId="0" xfId="0" applyNumberFormat="1" applyFont="1" applyAlignment="1">
      <alignment vertical="center"/>
    </xf>
    <xf numFmtId="3" fontId="109" fillId="79" borderId="0" xfId="0" applyNumberFormat="1" applyFont="1" applyFill="1" applyBorder="1" applyAlignment="1">
      <alignment vertical="center"/>
    </xf>
    <xf numFmtId="0" fontId="116" fillId="0" borderId="0" xfId="0" applyFont="1" applyAlignment="1">
      <alignment vertical="center"/>
    </xf>
    <xf numFmtId="0" fontId="9" fillId="79" borderId="39" xfId="0" applyFont="1" applyFill="1" applyBorder="1" applyAlignment="1">
      <alignment vertical="center"/>
    </xf>
    <xf numFmtId="3" fontId="130" fillId="79" borderId="39" xfId="0" applyNumberFormat="1" applyFont="1" applyFill="1" applyBorder="1"/>
    <xf numFmtId="3" fontId="9" fillId="79" borderId="39" xfId="0" applyNumberFormat="1" applyFont="1" applyFill="1" applyBorder="1" applyAlignment="1">
      <alignment vertical="center"/>
    </xf>
    <xf numFmtId="0" fontId="36" fillId="79" borderId="39" xfId="0" applyFont="1" applyFill="1" applyBorder="1" applyAlignment="1">
      <alignment vertical="center"/>
    </xf>
    <xf numFmtId="3" fontId="36" fillId="79" borderId="39" xfId="0" applyNumberFormat="1" applyFont="1" applyFill="1" applyBorder="1" applyAlignment="1">
      <alignment vertical="center"/>
    </xf>
    <xf numFmtId="3" fontId="109" fillId="79" borderId="39" xfId="0" applyNumberFormat="1" applyFont="1" applyFill="1" applyBorder="1" applyAlignment="1">
      <alignment vertical="center"/>
    </xf>
    <xf numFmtId="3" fontId="9" fillId="79" borderId="0" xfId="0" applyNumberFormat="1" applyFont="1" applyFill="1" applyAlignment="1">
      <alignment vertical="center"/>
    </xf>
    <xf numFmtId="3" fontId="160" fillId="0" borderId="39" xfId="37" applyNumberFormat="1" applyFont="1" applyFill="1" applyBorder="1" applyAlignment="1" applyProtection="1">
      <alignment horizontal="center" vertical="center" wrapText="1"/>
      <protection locked="0"/>
    </xf>
    <xf numFmtId="3" fontId="160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160" fillId="0" borderId="1" xfId="37" applyFont="1" applyFill="1" applyBorder="1" applyAlignment="1">
      <alignment horizontal="center" vertical="center" wrapText="1"/>
    </xf>
    <xf numFmtId="3" fontId="160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60" fillId="34" borderId="1" xfId="40" applyNumberFormat="1" applyFont="1" applyFill="1" applyBorder="1" applyAlignment="1" applyProtection="1">
      <alignment horizontal="center" vertical="center" wrapText="1"/>
      <protection locked="0"/>
    </xf>
    <xf numFmtId="0" fontId="226" fillId="17" borderId="39" xfId="37" applyFont="1" applyFill="1" applyBorder="1" applyAlignment="1">
      <alignment vertical="center" wrapText="1"/>
    </xf>
    <xf numFmtId="166" fontId="226" fillId="17" borderId="39" xfId="58" applyNumberFormat="1" applyFont="1" applyFill="1" applyBorder="1" applyAlignment="1">
      <alignment horizontal="right" vertical="center" wrapText="1"/>
    </xf>
    <xf numFmtId="0" fontId="228" fillId="18" borderId="39" xfId="37" applyFont="1" applyFill="1" applyBorder="1" applyAlignment="1">
      <alignment horizontal="center" vertical="center" wrapText="1"/>
    </xf>
    <xf numFmtId="0" fontId="228" fillId="18" borderId="39" xfId="37" applyFont="1" applyFill="1" applyBorder="1" applyAlignment="1">
      <alignment vertical="center" wrapText="1"/>
    </xf>
    <xf numFmtId="166" fontId="229" fillId="17" borderId="39" xfId="58" applyNumberFormat="1" applyFont="1" applyFill="1" applyBorder="1" applyAlignment="1">
      <alignment horizontal="right" vertical="center" wrapText="1"/>
    </xf>
    <xf numFmtId="166" fontId="230" fillId="18" borderId="39" xfId="58" applyNumberFormat="1" applyFont="1" applyFill="1" applyBorder="1" applyAlignment="1">
      <alignment horizontal="right" vertical="center" wrapText="1"/>
    </xf>
    <xf numFmtId="166" fontId="231" fillId="17" borderId="39" xfId="58" applyNumberFormat="1" applyFont="1" applyFill="1" applyBorder="1" applyAlignment="1">
      <alignment horizontal="right" vertical="center" wrapText="1"/>
    </xf>
    <xf numFmtId="166" fontId="228" fillId="18" borderId="39" xfId="58" applyNumberFormat="1" applyFont="1" applyFill="1" applyBorder="1" applyAlignment="1">
      <alignment horizontal="right" vertical="center" wrapText="1"/>
    </xf>
    <xf numFmtId="3" fontId="229" fillId="17" borderId="39" xfId="40" applyNumberFormat="1" applyFont="1" applyFill="1" applyBorder="1" applyAlignment="1" applyProtection="1">
      <alignment horizontal="left" vertical="center" wrapText="1"/>
      <protection locked="0"/>
    </xf>
    <xf numFmtId="166" fontId="229" fillId="17" borderId="39" xfId="58" applyNumberFormat="1" applyFont="1" applyFill="1" applyBorder="1" applyAlignment="1" applyProtection="1">
      <alignment horizontal="right" vertical="center" wrapText="1"/>
      <protection locked="0"/>
    </xf>
    <xf numFmtId="3" fontId="232" fillId="18" borderId="39" xfId="40" applyNumberFormat="1" applyFont="1" applyFill="1" applyBorder="1" applyAlignment="1" applyProtection="1">
      <alignment horizontal="center" vertical="center" wrapText="1"/>
      <protection locked="0"/>
    </xf>
    <xf numFmtId="166" fontId="232" fillId="18" borderId="39" xfId="58" applyNumberFormat="1" applyFont="1" applyFill="1" applyBorder="1" applyAlignment="1" applyProtection="1">
      <alignment horizontal="right" vertical="center" wrapText="1"/>
      <protection locked="0"/>
    </xf>
    <xf numFmtId="3" fontId="129" fillId="18" borderId="39" xfId="40" applyNumberFormat="1" applyFont="1" applyFill="1" applyBorder="1" applyAlignment="1">
      <alignment horizontal="center" vertical="center" wrapText="1"/>
    </xf>
    <xf numFmtId="166" fontId="160" fillId="17" borderId="39" xfId="58" applyNumberFormat="1" applyFont="1" applyFill="1" applyBorder="1" applyAlignment="1">
      <alignment horizontal="right" vertical="center" wrapText="1"/>
    </xf>
    <xf numFmtId="166" fontId="129" fillId="18" borderId="39" xfId="58" applyNumberFormat="1" applyFont="1" applyFill="1" applyBorder="1" applyAlignment="1">
      <alignment horizontal="right" vertical="center" wrapText="1"/>
    </xf>
    <xf numFmtId="3" fontId="160" fillId="17" borderId="39" xfId="40" applyNumberFormat="1" applyFont="1" applyFill="1" applyBorder="1" applyAlignment="1">
      <alignment vertical="center" wrapText="1"/>
    </xf>
    <xf numFmtId="2" fontId="226" fillId="17" borderId="39" xfId="37" applyNumberFormat="1" applyFont="1" applyFill="1" applyBorder="1" applyAlignment="1">
      <alignment vertical="center" wrapText="1"/>
    </xf>
    <xf numFmtId="0" fontId="205" fillId="0" borderId="0" xfId="0" applyFont="1"/>
    <xf numFmtId="3" fontId="160" fillId="0" borderId="39" xfId="40" applyNumberFormat="1" applyFont="1" applyFill="1" applyBorder="1" applyAlignment="1" applyProtection="1">
      <alignment horizontal="center" vertical="center" wrapText="1"/>
      <protection locked="0"/>
    </xf>
    <xf numFmtId="0" fontId="129" fillId="15" borderId="0" xfId="0" applyFont="1" applyFill="1"/>
    <xf numFmtId="3" fontId="129" fillId="0" borderId="1" xfId="37" applyNumberFormat="1" applyFont="1" applyFill="1" applyBorder="1" applyAlignment="1" applyProtection="1">
      <alignment horizontal="left" vertical="center" wrapText="1"/>
      <protection locked="0"/>
    </xf>
    <xf numFmtId="3" fontId="129" fillId="0" borderId="39" xfId="37" applyNumberFormat="1" applyFont="1" applyFill="1" applyBorder="1" applyAlignment="1" applyProtection="1">
      <alignment horizontal="left" vertical="center" wrapText="1"/>
      <protection locked="0"/>
    </xf>
    <xf numFmtId="0" fontId="129" fillId="0" borderId="1" xfId="37" applyFont="1" applyFill="1" applyBorder="1" applyAlignment="1">
      <alignment horizontal="left" vertical="center" wrapText="1"/>
    </xf>
    <xf numFmtId="0" fontId="129" fillId="0" borderId="39" xfId="37" applyFont="1" applyFill="1" applyBorder="1" applyAlignment="1">
      <alignment horizontal="left" vertical="center" wrapText="1"/>
    </xf>
    <xf numFmtId="0" fontId="129" fillId="34" borderId="1" xfId="37" applyFont="1" applyFill="1" applyBorder="1" applyAlignment="1">
      <alignment horizontal="left" vertical="center" wrapText="1"/>
    </xf>
    <xf numFmtId="0" fontId="129" fillId="34" borderId="39" xfId="37" applyFont="1" applyFill="1" applyBorder="1" applyAlignment="1">
      <alignment horizontal="left" vertical="center" wrapText="1"/>
    </xf>
    <xf numFmtId="0" fontId="129" fillId="0" borderId="0" xfId="0" applyFont="1" applyFill="1"/>
    <xf numFmtId="0" fontId="160" fillId="30" borderId="0" xfId="0" applyFont="1" applyFill="1"/>
    <xf numFmtId="3" fontId="129" fillId="18" borderId="0" xfId="0" applyNumberFormat="1" applyFont="1" applyFill="1"/>
    <xf numFmtId="0" fontId="129" fillId="18" borderId="0" xfId="0" applyFont="1" applyFill="1"/>
    <xf numFmtId="3" fontId="129" fillId="0" borderId="0" xfId="40" applyNumberFormat="1" applyFont="1" applyFill="1" applyBorder="1" applyAlignment="1">
      <alignment wrapText="1"/>
    </xf>
    <xf numFmtId="3" fontId="129" fillId="0" borderId="0" xfId="40" applyNumberFormat="1" applyFont="1" applyFill="1" applyBorder="1" applyAlignment="1">
      <alignment horizontal="right" wrapText="1"/>
    </xf>
    <xf numFmtId="3" fontId="129" fillId="0" borderId="0" xfId="40" applyNumberFormat="1" applyFont="1" applyFill="1" applyBorder="1" applyAlignment="1">
      <alignment horizontal="right" vertical="top" wrapText="1"/>
    </xf>
    <xf numFmtId="3" fontId="129" fillId="0" borderId="0" xfId="40" applyNumberFormat="1" applyFont="1" applyFill="1" applyBorder="1" applyAlignment="1">
      <alignment horizontal="left" vertical="top" wrapText="1"/>
    </xf>
    <xf numFmtId="0" fontId="129" fillId="0" borderId="0" xfId="0" applyFont="1"/>
    <xf numFmtId="0" fontId="205" fillId="0" borderId="0" xfId="0" applyFont="1" applyBorder="1" applyAlignment="1">
      <alignment vertical="center"/>
    </xf>
    <xf numFmtId="0" fontId="205" fillId="0" borderId="0" xfId="0" applyFont="1" applyAlignment="1">
      <alignment vertical="center"/>
    </xf>
    <xf numFmtId="0" fontId="226" fillId="34" borderId="1" xfId="37" applyFont="1" applyFill="1" applyBorder="1" applyAlignment="1">
      <alignment horizontal="center" vertical="center" wrapText="1"/>
    </xf>
    <xf numFmtId="0" fontId="228" fillId="34" borderId="1" xfId="37" applyFont="1" applyFill="1" applyBorder="1" applyAlignment="1">
      <alignment horizontal="left" vertical="center" wrapText="1"/>
    </xf>
    <xf numFmtId="0" fontId="228" fillId="34" borderId="39" xfId="37" applyFont="1" applyFill="1" applyBorder="1" applyAlignment="1">
      <alignment horizontal="left" vertical="center" wrapText="1"/>
    </xf>
    <xf numFmtId="0" fontId="228" fillId="34" borderId="39" xfId="37" applyFont="1" applyFill="1" applyBorder="1" applyAlignment="1">
      <alignment vertical="center" wrapText="1"/>
    </xf>
    <xf numFmtId="2" fontId="228" fillId="0" borderId="1" xfId="37" applyNumberFormat="1" applyFont="1" applyFill="1" applyBorder="1" applyAlignment="1">
      <alignment horizontal="left" vertical="center" wrapText="1"/>
    </xf>
    <xf numFmtId="0" fontId="226" fillId="34" borderId="2" xfId="37" applyFont="1" applyFill="1" applyBorder="1" applyAlignment="1">
      <alignment horizontal="center" vertical="center" wrapText="1"/>
    </xf>
    <xf numFmtId="166" fontId="233" fillId="30" borderId="1" xfId="58" applyNumberFormat="1" applyFont="1" applyFill="1" applyBorder="1" applyAlignment="1">
      <alignment horizontal="left" vertical="center" wrapText="1"/>
    </xf>
    <xf numFmtId="166" fontId="234" fillId="30" borderId="39" xfId="37" applyNumberFormat="1" applyFont="1" applyFill="1" applyBorder="1" applyAlignment="1">
      <alignment horizontal="left" vertical="center" wrapText="1"/>
    </xf>
    <xf numFmtId="166" fontId="234" fillId="30" borderId="39" xfId="37" applyNumberFormat="1" applyFont="1" applyFill="1" applyBorder="1" applyAlignment="1">
      <alignment horizontal="right" vertical="center" wrapText="1"/>
    </xf>
    <xf numFmtId="0" fontId="235" fillId="34" borderId="0" xfId="0" applyFont="1" applyFill="1" applyBorder="1" applyAlignment="1">
      <alignment vertical="center"/>
    </xf>
    <xf numFmtId="0" fontId="235" fillId="34" borderId="0" xfId="0" applyFont="1" applyFill="1" applyAlignment="1">
      <alignment vertical="center"/>
    </xf>
    <xf numFmtId="166" fontId="236" fillId="17" borderId="1" xfId="58" applyNumberFormat="1" applyFont="1" applyFill="1" applyBorder="1" applyAlignment="1">
      <alignment horizontal="left" vertical="center" wrapText="1"/>
    </xf>
    <xf numFmtId="166" fontId="226" fillId="17" borderId="39" xfId="37" applyNumberFormat="1" applyFont="1" applyFill="1" applyBorder="1" applyAlignment="1">
      <alignment horizontal="right" vertical="center" wrapText="1"/>
    </xf>
    <xf numFmtId="0" fontId="227" fillId="34" borderId="0" xfId="0" applyFont="1" applyFill="1" applyBorder="1" applyAlignment="1">
      <alignment vertical="center"/>
    </xf>
    <xf numFmtId="166" fontId="227" fillId="34" borderId="0" xfId="0" applyNumberFormat="1" applyFont="1" applyFill="1" applyBorder="1" applyAlignment="1">
      <alignment vertical="center"/>
    </xf>
    <xf numFmtId="0" fontId="227" fillId="34" borderId="0" xfId="0" applyFont="1" applyFill="1" applyAlignment="1">
      <alignment vertical="center"/>
    </xf>
    <xf numFmtId="166" fontId="233" fillId="30" borderId="39" xfId="58" applyNumberFormat="1" applyFont="1" applyFill="1" applyBorder="1" applyAlignment="1">
      <alignment horizontal="left" vertical="center" wrapText="1"/>
    </xf>
    <xf numFmtId="166" fontId="237" fillId="30" borderId="39" xfId="37" applyNumberFormat="1" applyFont="1" applyFill="1" applyBorder="1" applyAlignment="1">
      <alignment horizontal="right" vertical="center" wrapText="1"/>
    </xf>
    <xf numFmtId="166" fontId="238" fillId="18" borderId="1" xfId="58" applyNumberFormat="1" applyFont="1" applyFill="1" applyBorder="1" applyAlignment="1">
      <alignment horizontal="center" vertical="center" wrapText="1"/>
    </xf>
    <xf numFmtId="166" fontId="238" fillId="18" borderId="1" xfId="58" applyNumberFormat="1" applyFont="1" applyFill="1" applyBorder="1" applyAlignment="1">
      <alignment horizontal="left" vertical="center" wrapText="1"/>
    </xf>
    <xf numFmtId="166" fontId="228" fillId="18" borderId="39" xfId="37" applyNumberFormat="1" applyFont="1" applyFill="1" applyBorder="1" applyAlignment="1">
      <alignment horizontal="right" vertical="center" wrapText="1"/>
    </xf>
    <xf numFmtId="0" fontId="205" fillId="34" borderId="0" xfId="0" applyFont="1" applyFill="1" applyBorder="1" applyAlignment="1">
      <alignment vertical="center"/>
    </xf>
    <xf numFmtId="171" fontId="205" fillId="34" borderId="0" xfId="0" applyNumberFormat="1" applyFont="1" applyFill="1" applyBorder="1" applyAlignment="1">
      <alignment vertical="center"/>
    </xf>
    <xf numFmtId="0" fontId="205" fillId="34" borderId="0" xfId="0" applyFont="1" applyFill="1" applyAlignment="1">
      <alignment vertical="center"/>
    </xf>
    <xf numFmtId="166" fontId="238" fillId="18" borderId="39" xfId="58" applyNumberFormat="1" applyFont="1" applyFill="1" applyBorder="1" applyAlignment="1">
      <alignment horizontal="center" vertical="center" wrapText="1"/>
    </xf>
    <xf numFmtId="166" fontId="238" fillId="18" borderId="39" xfId="58" applyNumberFormat="1" applyFont="1" applyFill="1" applyBorder="1" applyAlignment="1">
      <alignment horizontal="left" vertical="center" wrapText="1"/>
    </xf>
    <xf numFmtId="166" fontId="238" fillId="34" borderId="1" xfId="58" applyNumberFormat="1" applyFont="1" applyFill="1" applyBorder="1" applyAlignment="1">
      <alignment horizontal="right" vertical="center" wrapText="1"/>
    </xf>
    <xf numFmtId="166" fontId="238" fillId="34" borderId="1" xfId="58" applyNumberFormat="1" applyFont="1" applyFill="1" applyBorder="1" applyAlignment="1">
      <alignment horizontal="left" vertical="center" wrapText="1"/>
    </xf>
    <xf numFmtId="166" fontId="228" fillId="34" borderId="39" xfId="37" applyNumberFormat="1" applyFont="1" applyFill="1" applyBorder="1" applyAlignment="1">
      <alignment horizontal="right" vertical="center" wrapText="1"/>
    </xf>
    <xf numFmtId="166" fontId="238" fillId="34" borderId="39" xfId="58" applyNumberFormat="1" applyFont="1" applyFill="1" applyBorder="1" applyAlignment="1">
      <alignment horizontal="right" vertical="center" wrapText="1"/>
    </xf>
    <xf numFmtId="166" fontId="238" fillId="34" borderId="39" xfId="58" applyNumberFormat="1" applyFont="1" applyFill="1" applyBorder="1" applyAlignment="1">
      <alignment horizontal="left" vertical="center" wrapText="1"/>
    </xf>
    <xf numFmtId="166" fontId="236" fillId="17" borderId="39" xfId="58" applyNumberFormat="1" applyFont="1" applyFill="1" applyBorder="1" applyAlignment="1">
      <alignment horizontal="left" vertical="center" wrapText="1"/>
    </xf>
    <xf numFmtId="0" fontId="225" fillId="0" borderId="0" xfId="42" applyFont="1" applyFill="1" applyBorder="1" applyAlignment="1" applyProtection="1">
      <alignment horizontal="left" vertical="center"/>
      <protection locked="0"/>
    </xf>
    <xf numFmtId="0" fontId="225" fillId="0" borderId="0" xfId="42" applyFont="1" applyFill="1" applyBorder="1" applyAlignment="1" applyProtection="1">
      <alignment horizontal="left" vertical="center" wrapText="1"/>
      <protection locked="0"/>
    </xf>
    <xf numFmtId="3" fontId="225" fillId="0" borderId="0" xfId="42" applyNumberFormat="1" applyFont="1" applyFill="1" applyBorder="1" applyAlignment="1" applyProtection="1">
      <alignment vertical="center"/>
      <protection locked="0"/>
    </xf>
    <xf numFmtId="166" fontId="225" fillId="0" borderId="0" xfId="42" applyNumberFormat="1" applyFont="1" applyFill="1" applyBorder="1" applyAlignment="1" applyProtection="1">
      <alignment vertical="center"/>
      <protection locked="0"/>
    </xf>
    <xf numFmtId="166" fontId="224" fillId="0" borderId="0" xfId="58" applyNumberFormat="1" applyFont="1" applyFill="1" applyBorder="1" applyAlignment="1" applyProtection="1">
      <alignment vertical="center"/>
      <protection locked="0"/>
    </xf>
    <xf numFmtId="0" fontId="225" fillId="0" borderId="0" xfId="42" applyFont="1" applyFill="1" applyBorder="1" applyAlignment="1" applyProtection="1">
      <alignment vertical="center"/>
      <protection locked="0"/>
    </xf>
    <xf numFmtId="166" fontId="236" fillId="0" borderId="0" xfId="58" applyNumberFormat="1" applyFont="1" applyFill="1" applyBorder="1" applyAlignment="1">
      <alignment horizontal="right" vertical="center" wrapText="1"/>
    </xf>
    <xf numFmtId="166" fontId="225" fillId="0" borderId="0" xfId="58" applyNumberFormat="1" applyFont="1" applyFill="1" applyBorder="1" applyAlignment="1" applyProtection="1">
      <alignment vertical="center"/>
      <protection locked="0"/>
    </xf>
    <xf numFmtId="0" fontId="205" fillId="0" borderId="0" xfId="0" applyFont="1" applyFill="1" applyBorder="1" applyAlignment="1">
      <alignment vertical="center"/>
    </xf>
    <xf numFmtId="201" fontId="236" fillId="0" borderId="0" xfId="57" applyNumberFormat="1" applyFont="1" applyFill="1" applyBorder="1" applyAlignment="1">
      <alignment horizontal="right" vertical="center" wrapText="1"/>
    </xf>
    <xf numFmtId="9" fontId="205" fillId="0" borderId="0" xfId="57" applyFont="1" applyBorder="1" applyAlignment="1">
      <alignment vertical="center"/>
    </xf>
    <xf numFmtId="0" fontId="205" fillId="0" borderId="1" xfId="0" applyFont="1" applyFill="1" applyBorder="1" applyAlignment="1">
      <alignment vertical="center"/>
    </xf>
    <xf numFmtId="0" fontId="236" fillId="0" borderId="2" xfId="37" applyFont="1" applyFill="1" applyBorder="1" applyAlignment="1">
      <alignment horizontal="center" vertical="center" wrapText="1"/>
    </xf>
    <xf numFmtId="0" fontId="228" fillId="0" borderId="2" xfId="37" applyFont="1" applyFill="1" applyBorder="1" applyAlignment="1">
      <alignment horizontal="left" vertical="center" wrapText="1"/>
    </xf>
    <xf numFmtId="2" fontId="236" fillId="0" borderId="2" xfId="37" applyNumberFormat="1" applyFont="1" applyFill="1" applyBorder="1" applyAlignment="1">
      <alignment horizontal="center" vertical="center" wrapText="1"/>
    </xf>
    <xf numFmtId="2" fontId="228" fillId="0" borderId="2" xfId="37" applyNumberFormat="1" applyFont="1" applyFill="1" applyBorder="1" applyAlignment="1">
      <alignment horizontal="left" vertical="center" wrapText="1"/>
    </xf>
    <xf numFmtId="2" fontId="228" fillId="0" borderId="18" xfId="37" applyNumberFormat="1" applyFont="1" applyFill="1" applyBorder="1" applyAlignment="1">
      <alignment horizontal="left" vertical="center" wrapText="1"/>
    </xf>
    <xf numFmtId="0" fontId="205" fillId="0" borderId="0" xfId="0" applyFont="1" applyFill="1" applyAlignment="1">
      <alignment vertical="center"/>
    </xf>
    <xf numFmtId="0" fontId="236" fillId="0" borderId="1" xfId="37" applyFont="1" applyFill="1" applyBorder="1" applyAlignment="1">
      <alignment horizontal="center" vertical="center" wrapText="1"/>
    </xf>
    <xf numFmtId="0" fontId="228" fillId="0" borderId="1" xfId="37" applyFont="1" applyFill="1" applyBorder="1" applyAlignment="1">
      <alignment horizontal="left" vertical="center" wrapText="1"/>
    </xf>
    <xf numFmtId="0" fontId="228" fillId="0" borderId="39" xfId="37" applyFont="1" applyFill="1" applyBorder="1" applyAlignment="1">
      <alignment horizontal="left" vertical="center" wrapText="1"/>
    </xf>
    <xf numFmtId="2" fontId="236" fillId="0" borderId="1" xfId="37" applyNumberFormat="1" applyFont="1" applyFill="1" applyBorder="1" applyAlignment="1">
      <alignment horizontal="center" vertical="center" wrapText="1"/>
    </xf>
    <xf numFmtId="2" fontId="228" fillId="0" borderId="39" xfId="37" applyNumberFormat="1" applyFont="1" applyFill="1" applyBorder="1" applyAlignment="1">
      <alignment horizontal="left" vertical="center" wrapText="1"/>
    </xf>
    <xf numFmtId="2" fontId="236" fillId="0" borderId="18" xfId="37" applyNumberFormat="1" applyFont="1" applyFill="1" applyBorder="1" applyAlignment="1">
      <alignment horizontal="center" vertical="center" wrapText="1"/>
    </xf>
    <xf numFmtId="0" fontId="236" fillId="17" borderId="1" xfId="37" applyFont="1" applyFill="1" applyBorder="1" applyAlignment="1">
      <alignment vertical="center" wrapText="1"/>
    </xf>
    <xf numFmtId="0" fontId="224" fillId="17" borderId="1" xfId="37" applyFont="1" applyFill="1" applyBorder="1" applyAlignment="1">
      <alignment vertical="center" wrapText="1"/>
    </xf>
    <xf numFmtId="166" fontId="226" fillId="17" borderId="1" xfId="58" applyNumberFormat="1" applyFont="1" applyFill="1" applyBorder="1" applyAlignment="1">
      <alignment horizontal="right" vertical="center" wrapText="1"/>
    </xf>
    <xf numFmtId="0" fontId="238" fillId="18" borderId="1" xfId="37" applyFont="1" applyFill="1" applyBorder="1" applyAlignment="1">
      <alignment horizontal="center" vertical="center" wrapText="1"/>
    </xf>
    <xf numFmtId="0" fontId="225" fillId="18" borderId="1" xfId="37" applyFont="1" applyFill="1" applyBorder="1" applyAlignment="1">
      <alignment vertical="center" wrapText="1"/>
    </xf>
    <xf numFmtId="166" fontId="228" fillId="17" borderId="1" xfId="58" applyNumberFormat="1" applyFont="1" applyFill="1" applyBorder="1" applyAlignment="1">
      <alignment horizontal="right" vertical="center" wrapText="1"/>
    </xf>
    <xf numFmtId="166" fontId="228" fillId="18" borderId="1" xfId="58" applyNumberFormat="1" applyFont="1" applyFill="1" applyBorder="1" applyAlignment="1">
      <alignment horizontal="right" vertical="center" wrapText="1"/>
    </xf>
    <xf numFmtId="0" fontId="238" fillId="18" borderId="1" xfId="37" applyFont="1" applyFill="1" applyBorder="1" applyAlignment="1">
      <alignment vertical="center" wrapText="1"/>
    </xf>
    <xf numFmtId="166" fontId="226" fillId="18" borderId="1" xfId="58" applyNumberFormat="1" applyFont="1" applyFill="1" applyBorder="1" applyAlignment="1">
      <alignment horizontal="right" vertical="center" wrapText="1"/>
    </xf>
    <xf numFmtId="0" fontId="238" fillId="18" borderId="39" xfId="37" applyFont="1" applyFill="1" applyBorder="1" applyAlignment="1">
      <alignment horizontal="center" vertical="center" wrapText="1"/>
    </xf>
    <xf numFmtId="0" fontId="238" fillId="18" borderId="39" xfId="37" applyFont="1" applyFill="1" applyBorder="1" applyAlignment="1">
      <alignment vertical="center" wrapText="1"/>
    </xf>
    <xf numFmtId="0" fontId="236" fillId="17" borderId="1" xfId="37" applyFont="1" applyFill="1" applyBorder="1" applyAlignment="1">
      <alignment horizontal="left" vertical="center" wrapText="1"/>
    </xf>
    <xf numFmtId="0" fontId="225" fillId="18" borderId="39" xfId="37" applyFont="1" applyFill="1" applyBorder="1" applyAlignment="1">
      <alignment vertical="center" wrapText="1"/>
    </xf>
    <xf numFmtId="0" fontId="225" fillId="18" borderId="1" xfId="37" applyFont="1" applyFill="1" applyBorder="1" applyAlignment="1">
      <alignment horizontal="left" vertical="center" wrapText="1"/>
    </xf>
    <xf numFmtId="0" fontId="224" fillId="17" borderId="1" xfId="37" applyFont="1" applyFill="1" applyBorder="1" applyAlignment="1">
      <alignment vertical="center"/>
    </xf>
    <xf numFmtId="166" fontId="226" fillId="17" borderId="1" xfId="58" quotePrefix="1" applyNumberFormat="1" applyFont="1" applyFill="1" applyBorder="1" applyAlignment="1">
      <alignment horizontal="right" vertical="center" wrapText="1"/>
    </xf>
    <xf numFmtId="166" fontId="225" fillId="0" borderId="0" xfId="60" applyNumberFormat="1" applyFont="1" applyFill="1" applyAlignment="1" applyProtection="1">
      <alignment vertical="center"/>
      <protection locked="0"/>
    </xf>
    <xf numFmtId="166" fontId="225" fillId="0" borderId="0" xfId="60" applyNumberFormat="1" applyFont="1" applyFill="1" applyAlignment="1" applyProtection="1">
      <alignment horizontal="left" vertical="center" wrapText="1"/>
      <protection locked="0"/>
    </xf>
    <xf numFmtId="2" fontId="225" fillId="0" borderId="0" xfId="60" applyNumberFormat="1" applyFont="1" applyFill="1" applyAlignment="1" applyProtection="1">
      <alignment vertical="center"/>
      <protection locked="0"/>
    </xf>
    <xf numFmtId="166" fontId="224" fillId="0" borderId="0" xfId="0" applyNumberFormat="1" applyFont="1" applyFill="1" applyAlignment="1">
      <alignment vertical="center"/>
    </xf>
    <xf numFmtId="0" fontId="225" fillId="0" borderId="0" xfId="42" applyFont="1" applyFill="1" applyAlignment="1" applyProtection="1">
      <alignment vertical="center"/>
      <protection locked="0"/>
    </xf>
    <xf numFmtId="0" fontId="225" fillId="0" borderId="0" xfId="42" applyFont="1" applyFill="1" applyAlignment="1" applyProtection="1">
      <alignment horizontal="left" vertical="center" wrapText="1"/>
      <protection locked="0"/>
    </xf>
    <xf numFmtId="166" fontId="225" fillId="0" borderId="0" xfId="42" applyNumberFormat="1" applyFont="1" applyFill="1" applyAlignment="1" applyProtection="1">
      <alignment vertical="center"/>
      <protection locked="0"/>
    </xf>
    <xf numFmtId="2" fontId="225" fillId="0" borderId="0" xfId="42" applyNumberFormat="1" applyFont="1" applyFill="1" applyAlignment="1" applyProtection="1">
      <alignment vertical="center"/>
      <protection locked="0"/>
    </xf>
    <xf numFmtId="2" fontId="225" fillId="0" borderId="0" xfId="42" applyNumberFormat="1" applyFont="1" applyFill="1" applyBorder="1" applyAlignment="1" applyProtection="1">
      <alignment vertical="center"/>
      <protection locked="0"/>
    </xf>
    <xf numFmtId="166" fontId="224" fillId="0" borderId="0" xfId="58" applyNumberFormat="1" applyFont="1" applyFill="1" applyBorder="1" applyAlignment="1" applyProtection="1">
      <alignment horizontal="right" vertical="center" wrapText="1"/>
      <protection locked="0"/>
    </xf>
    <xf numFmtId="201" fontId="225" fillId="0" borderId="0" xfId="57" applyNumberFormat="1" applyFont="1" applyFill="1" applyBorder="1" applyAlignment="1" applyProtection="1">
      <alignment vertical="center"/>
      <protection locked="0"/>
    </xf>
    <xf numFmtId="3" fontId="224" fillId="34" borderId="1" xfId="40" applyNumberFormat="1" applyFont="1" applyFill="1" applyBorder="1" applyAlignment="1" applyProtection="1">
      <alignment horizontal="center" vertical="center"/>
      <protection locked="0"/>
    </xf>
    <xf numFmtId="3" fontId="224" fillId="34" borderId="1" xfId="40" applyNumberFormat="1" applyFont="1" applyFill="1" applyBorder="1" applyAlignment="1" applyProtection="1">
      <alignment horizontal="center" vertical="center" wrapText="1"/>
      <protection locked="0"/>
    </xf>
    <xf numFmtId="0" fontId="160" fillId="34" borderId="39" xfId="37" applyFont="1" applyFill="1" applyBorder="1" applyAlignment="1">
      <alignment horizontal="center" vertical="center"/>
    </xf>
    <xf numFmtId="0" fontId="205" fillId="34" borderId="0" xfId="0" applyFont="1" applyFill="1" applyBorder="1"/>
    <xf numFmtId="0" fontId="205" fillId="34" borderId="0" xfId="0" applyFont="1" applyFill="1"/>
    <xf numFmtId="0" fontId="160" fillId="34" borderId="1" xfId="37" applyFont="1" applyFill="1" applyBorder="1" applyAlignment="1">
      <alignment horizontal="center" vertical="center" wrapText="1"/>
    </xf>
    <xf numFmtId="0" fontId="160" fillId="34" borderId="39" xfId="37" applyFont="1" applyFill="1" applyBorder="1" applyAlignment="1">
      <alignment horizontal="center" vertical="center" wrapText="1"/>
    </xf>
    <xf numFmtId="3" fontId="239" fillId="30" borderId="39" xfId="40" applyNumberFormat="1" applyFont="1" applyFill="1" applyBorder="1" applyAlignment="1" applyProtection="1">
      <alignment horizontal="left" vertical="center"/>
      <protection locked="0"/>
    </xf>
    <xf numFmtId="166" fontId="239" fillId="30" borderId="39" xfId="37" applyNumberFormat="1" applyFont="1" applyFill="1" applyBorder="1" applyAlignment="1">
      <alignment horizontal="left" vertical="center" wrapText="1"/>
    </xf>
    <xf numFmtId="166" fontId="239" fillId="30" borderId="39" xfId="37" applyNumberFormat="1" applyFont="1" applyFill="1" applyBorder="1" applyAlignment="1">
      <alignment horizontal="right" vertical="center" wrapText="1"/>
    </xf>
    <xf numFmtId="166" fontId="240" fillId="30" borderId="39" xfId="37" applyNumberFormat="1" applyFont="1" applyFill="1" applyBorder="1" applyAlignment="1">
      <alignment horizontal="right" vertical="center" wrapText="1"/>
    </xf>
    <xf numFmtId="166" fontId="226" fillId="17" borderId="1" xfId="62" applyNumberFormat="1" applyFont="1" applyFill="1" applyBorder="1" applyAlignment="1">
      <alignment horizontal="left" vertical="center" wrapText="1"/>
    </xf>
    <xf numFmtId="166" fontId="160" fillId="17" borderId="39" xfId="37" applyNumberFormat="1" applyFont="1" applyFill="1" applyBorder="1" applyAlignment="1">
      <alignment horizontal="right" vertical="center" wrapText="1"/>
    </xf>
    <xf numFmtId="166" fontId="205" fillId="34" borderId="0" xfId="0" applyNumberFormat="1" applyFont="1" applyFill="1" applyBorder="1" applyAlignment="1">
      <alignment vertical="center"/>
    </xf>
    <xf numFmtId="166" fontId="205" fillId="34" borderId="0" xfId="0" applyNumberFormat="1" applyFont="1" applyFill="1" applyBorder="1" applyAlignment="1">
      <alignment horizontal="right" vertical="center"/>
    </xf>
    <xf numFmtId="166" fontId="234" fillId="30" borderId="39" xfId="62" applyNumberFormat="1" applyFont="1" applyFill="1" applyBorder="1" applyAlignment="1">
      <alignment horizontal="left" vertical="center" wrapText="1"/>
    </xf>
    <xf numFmtId="166" fontId="228" fillId="18" borderId="1" xfId="62" applyNumberFormat="1" applyFont="1" applyFill="1" applyBorder="1" applyAlignment="1">
      <alignment horizontal="center" vertical="center" wrapText="1"/>
    </xf>
    <xf numFmtId="166" fontId="228" fillId="18" borderId="1" xfId="62" applyNumberFormat="1" applyFont="1" applyFill="1" applyBorder="1" applyAlignment="1">
      <alignment horizontal="left" vertical="center" wrapText="1"/>
    </xf>
    <xf numFmtId="166" fontId="129" fillId="18" borderId="39" xfId="37" applyNumberFormat="1" applyFont="1" applyFill="1" applyBorder="1" applyAlignment="1">
      <alignment horizontal="right" vertical="center" wrapText="1"/>
    </xf>
    <xf numFmtId="166" fontId="129" fillId="17" borderId="39" xfId="37" applyNumberFormat="1" applyFont="1" applyFill="1" applyBorder="1" applyAlignment="1">
      <alignment horizontal="right" vertical="center" wrapText="1"/>
    </xf>
    <xf numFmtId="166" fontId="228" fillId="18" borderId="39" xfId="62" applyNumberFormat="1" applyFont="1" applyFill="1" applyBorder="1" applyAlignment="1">
      <alignment horizontal="center" vertical="center" wrapText="1"/>
    </xf>
    <xf numFmtId="166" fontId="228" fillId="18" borderId="39" xfId="58" applyNumberFormat="1" applyFont="1" applyFill="1" applyBorder="1" applyAlignment="1">
      <alignment horizontal="left" vertical="center" wrapText="1"/>
    </xf>
    <xf numFmtId="166" fontId="228" fillId="34" borderId="1" xfId="62" applyNumberFormat="1" applyFont="1" applyFill="1" applyBorder="1" applyAlignment="1">
      <alignment horizontal="right" vertical="center" wrapText="1"/>
    </xf>
    <xf numFmtId="166" fontId="228" fillId="34" borderId="1" xfId="62" applyNumberFormat="1" applyFont="1" applyFill="1" applyBorder="1" applyAlignment="1">
      <alignment horizontal="left" vertical="center" wrapText="1"/>
    </xf>
    <xf numFmtId="166" fontId="129" fillId="34" borderId="39" xfId="37" applyNumberFormat="1" applyFont="1" applyFill="1" applyBorder="1" applyAlignment="1">
      <alignment horizontal="right" vertical="center" wrapText="1"/>
    </xf>
    <xf numFmtId="166" fontId="228" fillId="34" borderId="39" xfId="58" applyNumberFormat="1" applyFont="1" applyFill="1" applyBorder="1" applyAlignment="1">
      <alignment horizontal="right" vertical="center" wrapText="1"/>
    </xf>
    <xf numFmtId="166" fontId="228" fillId="34" borderId="39" xfId="58" applyNumberFormat="1" applyFont="1" applyFill="1" applyBorder="1" applyAlignment="1">
      <alignment horizontal="left" vertical="center" wrapText="1"/>
    </xf>
    <xf numFmtId="166" fontId="228" fillId="18" borderId="39" xfId="58" applyNumberFormat="1" applyFont="1" applyFill="1" applyBorder="1" applyAlignment="1">
      <alignment horizontal="center" vertical="center" wrapText="1"/>
    </xf>
    <xf numFmtId="166" fontId="234" fillId="30" borderId="39" xfId="58" applyNumberFormat="1" applyFont="1" applyFill="1" applyBorder="1" applyAlignment="1">
      <alignment horizontal="left" vertical="center" wrapText="1"/>
    </xf>
    <xf numFmtId="0" fontId="205" fillId="34" borderId="1" xfId="0" applyFont="1" applyFill="1" applyBorder="1"/>
    <xf numFmtId="166" fontId="228" fillId="34" borderId="39" xfId="62" applyNumberFormat="1" applyFont="1" applyFill="1" applyBorder="1" applyAlignment="1">
      <alignment horizontal="right" vertical="center" wrapText="1"/>
    </xf>
    <xf numFmtId="166" fontId="228" fillId="18" borderId="1" xfId="58" applyNumberFormat="1" applyFont="1" applyFill="1" applyBorder="1" applyAlignment="1">
      <alignment horizontal="center" vertical="center" wrapText="1"/>
    </xf>
    <xf numFmtId="166" fontId="228" fillId="18" borderId="1" xfId="58" applyNumberFormat="1" applyFont="1" applyFill="1" applyBorder="1" applyAlignment="1">
      <alignment horizontal="left" vertical="center" wrapText="1"/>
    </xf>
    <xf numFmtId="0" fontId="226" fillId="17" borderId="52" xfId="41" applyFont="1" applyFill="1" applyBorder="1" applyAlignment="1">
      <alignment horizontal="left" vertical="center" wrapText="1"/>
    </xf>
    <xf numFmtId="0" fontId="226" fillId="17" borderId="39" xfId="41" applyFont="1" applyFill="1" applyBorder="1" applyAlignment="1">
      <alignment horizontal="left" vertical="center" wrapText="1"/>
    </xf>
    <xf numFmtId="166" fontId="160" fillId="0" borderId="0" xfId="42" applyNumberFormat="1" applyFont="1" applyFill="1" applyBorder="1" applyAlignment="1" applyProtection="1">
      <alignment vertical="center"/>
      <protection locked="0"/>
    </xf>
    <xf numFmtId="166" fontId="205" fillId="0" borderId="0" xfId="0" applyNumberFormat="1" applyFont="1" applyBorder="1"/>
    <xf numFmtId="0" fontId="205" fillId="0" borderId="0" xfId="0" applyFont="1" applyBorder="1" applyAlignment="1">
      <alignment horizontal="right" vertical="center"/>
    </xf>
    <xf numFmtId="0" fontId="160" fillId="0" borderId="0" xfId="42" applyFont="1" applyFill="1" applyBorder="1" applyAlignment="1" applyProtection="1">
      <alignment vertical="center"/>
      <protection locked="0"/>
    </xf>
    <xf numFmtId="0" fontId="205" fillId="0" borderId="0" xfId="0" applyFont="1" applyBorder="1"/>
    <xf numFmtId="0" fontId="225" fillId="0" borderId="0" xfId="42" applyFont="1" applyFill="1" applyBorder="1" applyAlignment="1" applyProtection="1">
      <alignment vertical="center" wrapText="1"/>
      <protection locked="0"/>
    </xf>
    <xf numFmtId="3" fontId="181" fillId="17" borderId="52" xfId="40" applyNumberFormat="1" applyFont="1" applyFill="1" applyBorder="1" applyAlignment="1">
      <alignment horizontal="center" vertical="center" wrapText="1"/>
    </xf>
    <xf numFmtId="3" fontId="181" fillId="17" borderId="53" xfId="40" applyNumberFormat="1" applyFont="1" applyFill="1" applyBorder="1" applyAlignment="1">
      <alignment horizontal="center" vertical="center" wrapText="1"/>
    </xf>
    <xf numFmtId="3" fontId="59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56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40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17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18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6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39" xfId="4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3" fontId="55" fillId="0" borderId="52" xfId="40" applyNumberFormat="1" applyFont="1" applyFill="1" applyBorder="1" applyAlignment="1" applyProtection="1">
      <alignment horizontal="center" vertical="center" wrapText="1"/>
      <protection locked="0"/>
    </xf>
    <xf numFmtId="3" fontId="55" fillId="0" borderId="54" xfId="40" applyNumberFormat="1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2" fontId="50" fillId="0" borderId="3" xfId="42" applyNumberFormat="1" applyFont="1" applyFill="1" applyBorder="1" applyAlignment="1" applyProtection="1">
      <alignment horizontal="center" vertical="center"/>
      <protection locked="0"/>
    </xf>
    <xf numFmtId="2" fontId="50" fillId="0" borderId="54" xfId="42" applyNumberFormat="1" applyFont="1" applyFill="1" applyBorder="1" applyAlignment="1" applyProtection="1">
      <alignment horizontal="center" vertical="center"/>
      <protection locked="0"/>
    </xf>
    <xf numFmtId="3" fontId="59" fillId="17" borderId="3" xfId="42" applyNumberFormat="1" applyFont="1" applyFill="1" applyBorder="1" applyAlignment="1" applyProtection="1">
      <alignment horizontal="center" vertical="center" wrapText="1"/>
      <protection locked="0"/>
    </xf>
    <xf numFmtId="3" fontId="59" fillId="17" borderId="7" xfId="42" applyNumberFormat="1" applyFont="1" applyFill="1" applyBorder="1" applyAlignment="1" applyProtection="1">
      <alignment horizontal="center" vertical="center" wrapText="1"/>
      <protection locked="0"/>
    </xf>
    <xf numFmtId="2" fontId="59" fillId="0" borderId="55" xfId="42" applyNumberFormat="1" applyFont="1" applyFill="1" applyBorder="1" applyAlignment="1" applyProtection="1">
      <alignment horizontal="center" vertical="center" wrapText="1"/>
      <protection locked="0"/>
    </xf>
    <xf numFmtId="2" fontId="59" fillId="0" borderId="10" xfId="42" applyNumberFormat="1" applyFont="1" applyFill="1" applyBorder="1" applyAlignment="1" applyProtection="1">
      <alignment horizontal="center" vertical="center" wrapText="1"/>
      <protection locked="0"/>
    </xf>
    <xf numFmtId="2" fontId="59" fillId="0" borderId="2" xfId="42" applyNumberFormat="1" applyFont="1" applyFill="1" applyBorder="1" applyAlignment="1" applyProtection="1">
      <alignment horizontal="center" vertical="center" wrapText="1"/>
      <protection locked="0"/>
    </xf>
    <xf numFmtId="3" fontId="59" fillId="0" borderId="16" xfId="40" applyNumberFormat="1" applyFont="1" applyFill="1" applyBorder="1" applyAlignment="1" applyProtection="1">
      <alignment horizontal="center" vertical="center"/>
      <protection locked="0"/>
    </xf>
    <xf numFmtId="3" fontId="59" fillId="0" borderId="19" xfId="40" applyNumberFormat="1" applyFont="1" applyFill="1" applyBorder="1" applyAlignment="1" applyProtection="1">
      <alignment horizontal="center" vertical="center"/>
      <protection locked="0"/>
    </xf>
    <xf numFmtId="3" fontId="59" fillId="0" borderId="17" xfId="40" applyNumberFormat="1" applyFont="1" applyFill="1" applyBorder="1" applyAlignment="1" applyProtection="1">
      <alignment horizontal="center" vertical="center"/>
      <protection locked="0"/>
    </xf>
    <xf numFmtId="3" fontId="59" fillId="0" borderId="20" xfId="40" applyNumberFormat="1" applyFont="1" applyFill="1" applyBorder="1" applyAlignment="1" applyProtection="1">
      <alignment horizontal="center" vertical="center"/>
      <protection locked="0"/>
    </xf>
    <xf numFmtId="3" fontId="59" fillId="0" borderId="18" xfId="40" applyNumberFormat="1" applyFont="1" applyFill="1" applyBorder="1" applyAlignment="1" applyProtection="1">
      <alignment horizontal="center" vertical="center"/>
      <protection locked="0"/>
    </xf>
    <xf numFmtId="3" fontId="59" fillId="0" borderId="6" xfId="40" applyNumberFormat="1" applyFont="1" applyFill="1" applyBorder="1" applyAlignment="1" applyProtection="1">
      <alignment horizontal="center" vertical="center"/>
      <protection locked="0"/>
    </xf>
    <xf numFmtId="2" fontId="55" fillId="0" borderId="52" xfId="40" applyNumberFormat="1" applyFont="1" applyFill="1" applyBorder="1" applyAlignment="1" applyProtection="1">
      <alignment horizontal="center" vertical="center" wrapText="1"/>
      <protection locked="0"/>
    </xf>
    <xf numFmtId="2" fontId="55" fillId="0" borderId="54" xfId="40" applyNumberFormat="1" applyFont="1" applyFill="1" applyBorder="1" applyAlignment="1" applyProtection="1">
      <alignment horizontal="center" vertical="center" wrapText="1"/>
      <protection locked="0"/>
    </xf>
    <xf numFmtId="2" fontId="58" fillId="0" borderId="55" xfId="37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9" fillId="17" borderId="52" xfId="42" applyFont="1" applyFill="1" applyBorder="1" applyAlignment="1" applyProtection="1">
      <alignment horizontal="center" vertical="center" wrapText="1"/>
      <protection locked="0"/>
    </xf>
    <xf numFmtId="0" fontId="59" fillId="17" borderId="53" xfId="42" applyFont="1" applyFill="1" applyBorder="1" applyAlignment="1" applyProtection="1">
      <alignment horizontal="center" vertical="center" wrapText="1"/>
      <protection locked="0"/>
    </xf>
    <xf numFmtId="3" fontId="55" fillId="34" borderId="1" xfId="40" applyNumberFormat="1" applyFont="1" applyFill="1" applyBorder="1" applyAlignment="1" applyProtection="1">
      <alignment horizontal="center" vertical="center" wrapText="1"/>
      <protection locked="0"/>
    </xf>
    <xf numFmtId="3" fontId="55" fillId="34" borderId="39" xfId="40" applyNumberFormat="1" applyFont="1" applyFill="1" applyBorder="1" applyAlignment="1" applyProtection="1">
      <alignment horizontal="center" vertical="center" wrapText="1"/>
      <protection locked="0"/>
    </xf>
    <xf numFmtId="166" fontId="181" fillId="34" borderId="55" xfId="58" applyNumberFormat="1" applyFont="1" applyFill="1" applyBorder="1" applyAlignment="1" applyProtection="1">
      <alignment horizontal="center" vertical="center" wrapText="1"/>
      <protection locked="0"/>
    </xf>
    <xf numFmtId="166" fontId="181" fillId="34" borderId="10" xfId="58" applyNumberFormat="1" applyFont="1" applyFill="1" applyBorder="1" applyAlignment="1" applyProtection="1">
      <alignment horizontal="center" vertical="center" wrapText="1"/>
      <protection locked="0"/>
    </xf>
    <xf numFmtId="166" fontId="181" fillId="34" borderId="2" xfId="58" applyNumberFormat="1" applyFont="1" applyFill="1" applyBorder="1" applyAlignment="1" applyProtection="1">
      <alignment horizontal="center" vertical="center" wrapText="1"/>
      <protection locked="0"/>
    </xf>
    <xf numFmtId="3" fontId="59" fillId="0" borderId="1" xfId="40" applyNumberFormat="1" applyFont="1" applyFill="1" applyBorder="1" applyAlignment="1" applyProtection="1">
      <alignment horizontal="center" vertical="center"/>
      <protection locked="0"/>
    </xf>
    <xf numFmtId="3" fontId="55" fillId="34" borderId="52" xfId="40" applyNumberFormat="1" applyFont="1" applyFill="1" applyBorder="1" applyAlignment="1" applyProtection="1">
      <alignment horizontal="center" vertical="center" wrapText="1"/>
      <protection locked="0"/>
    </xf>
    <xf numFmtId="3" fontId="55" fillId="34" borderId="54" xfId="40" applyNumberFormat="1" applyFont="1" applyFill="1" applyBorder="1" applyAlignment="1" applyProtection="1">
      <alignment horizontal="center" vertical="center" wrapText="1"/>
      <protection locked="0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3" fontId="59" fillId="34" borderId="55" xfId="40" applyNumberFormat="1" applyFont="1" applyFill="1" applyBorder="1" applyAlignment="1" applyProtection="1">
      <alignment horizontal="center" vertical="center" wrapText="1"/>
      <protection locked="0"/>
    </xf>
    <xf numFmtId="0" fontId="193" fillId="34" borderId="2" xfId="0" applyFont="1" applyFill="1" applyBorder="1" applyAlignment="1">
      <alignment horizontal="center" vertical="center" wrapText="1"/>
    </xf>
    <xf numFmtId="0" fontId="181" fillId="34" borderId="1" xfId="42" applyFont="1" applyFill="1" applyBorder="1" applyAlignment="1" applyProtection="1">
      <alignment horizontal="center" vertical="center"/>
      <protection locked="0"/>
    </xf>
    <xf numFmtId="0" fontId="82" fillId="17" borderId="3" xfId="41" applyFont="1" applyFill="1" applyBorder="1" applyAlignment="1">
      <alignment horizontal="center" vertical="center" wrapText="1"/>
    </xf>
    <xf numFmtId="0" fontId="82" fillId="17" borderId="7" xfId="41" applyFont="1" applyFill="1" applyBorder="1" applyAlignment="1">
      <alignment horizontal="center" vertical="center" wrapText="1"/>
    </xf>
    <xf numFmtId="3" fontId="160" fillId="0" borderId="52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54" xfId="40" applyNumberFormat="1" applyFont="1" applyFill="1" applyBorder="1" applyAlignment="1" applyProtection="1">
      <alignment horizontal="center" vertical="center" wrapText="1"/>
      <protection locked="0"/>
    </xf>
    <xf numFmtId="0" fontId="129" fillId="0" borderId="53" xfId="0" applyFont="1" applyBorder="1" applyAlignment="1">
      <alignment horizontal="center" vertical="center" wrapText="1"/>
    </xf>
    <xf numFmtId="3" fontId="160" fillId="0" borderId="1" xfId="40" applyNumberFormat="1" applyFont="1" applyFill="1" applyBorder="1" applyAlignment="1" applyProtection="1">
      <alignment horizontal="center" vertical="center" wrapText="1"/>
      <protection locked="0"/>
    </xf>
    <xf numFmtId="3" fontId="160" fillId="17" borderId="52" xfId="40" applyNumberFormat="1" applyFont="1" applyFill="1" applyBorder="1" applyAlignment="1">
      <alignment horizontal="center" vertical="center" wrapText="1"/>
    </xf>
    <xf numFmtId="3" fontId="160" fillId="17" borderId="53" xfId="40" applyNumberFormat="1" applyFont="1" applyFill="1" applyBorder="1" applyAlignment="1">
      <alignment horizontal="center" vertical="center" wrapText="1"/>
    </xf>
    <xf numFmtId="3" fontId="160" fillId="0" borderId="74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53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56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40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17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20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18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6" xfId="40" applyNumberFormat="1" applyFont="1" applyFill="1" applyBorder="1" applyAlignment="1" applyProtection="1">
      <alignment horizontal="center" vertical="center" wrapText="1"/>
      <protection locked="0"/>
    </xf>
    <xf numFmtId="3" fontId="160" fillId="0" borderId="39" xfId="40" applyNumberFormat="1" applyFont="1" applyFill="1" applyBorder="1" applyAlignment="1" applyProtection="1">
      <alignment horizontal="center" vertical="center" wrapText="1"/>
      <protection locked="0"/>
    </xf>
    <xf numFmtId="0" fontId="129" fillId="0" borderId="39" xfId="0" applyFont="1" applyBorder="1" applyAlignment="1">
      <alignment horizontal="center" vertical="center" wrapText="1"/>
    </xf>
    <xf numFmtId="3" fontId="224" fillId="34" borderId="55" xfId="40" applyNumberFormat="1" applyFont="1" applyFill="1" applyBorder="1" applyAlignment="1" applyProtection="1">
      <alignment horizontal="center" vertical="center" wrapText="1"/>
      <protection locked="0"/>
    </xf>
    <xf numFmtId="0" fontId="227" fillId="34" borderId="2" xfId="0" applyFont="1" applyFill="1" applyBorder="1" applyAlignment="1">
      <alignment horizontal="center" vertical="center" wrapText="1"/>
    </xf>
    <xf numFmtId="166" fontId="160" fillId="34" borderId="55" xfId="58" applyNumberFormat="1" applyFont="1" applyFill="1" applyBorder="1" applyAlignment="1" applyProtection="1">
      <alignment horizontal="center" vertical="center" wrapText="1"/>
      <protection locked="0"/>
    </xf>
    <xf numFmtId="166" fontId="160" fillId="34" borderId="10" xfId="58" applyNumberFormat="1" applyFont="1" applyFill="1" applyBorder="1" applyAlignment="1" applyProtection="1">
      <alignment horizontal="center" vertical="center" wrapText="1"/>
      <protection locked="0"/>
    </xf>
    <xf numFmtId="166" fontId="160" fillId="34" borderId="2" xfId="58" applyNumberFormat="1" applyFont="1" applyFill="1" applyBorder="1" applyAlignment="1" applyProtection="1">
      <alignment horizontal="center" vertical="center" wrapText="1"/>
      <protection locked="0"/>
    </xf>
    <xf numFmtId="0" fontId="224" fillId="17" borderId="52" xfId="42" applyFont="1" applyFill="1" applyBorder="1" applyAlignment="1" applyProtection="1">
      <alignment horizontal="center" vertical="center" wrapText="1"/>
      <protection locked="0"/>
    </xf>
    <xf numFmtId="0" fontId="224" fillId="17" borderId="53" xfId="42" applyFont="1" applyFill="1" applyBorder="1" applyAlignment="1" applyProtection="1">
      <alignment horizontal="center" vertical="center" wrapText="1"/>
      <protection locked="0"/>
    </xf>
    <xf numFmtId="3" fontId="224" fillId="0" borderId="1" xfId="40" applyNumberFormat="1" applyFont="1" applyFill="1" applyBorder="1" applyAlignment="1" applyProtection="1">
      <alignment horizontal="center" vertical="center"/>
      <protection locked="0"/>
    </xf>
    <xf numFmtId="3" fontId="224" fillId="34" borderId="52" xfId="40" applyNumberFormat="1" applyFont="1" applyFill="1" applyBorder="1" applyAlignment="1" applyProtection="1">
      <alignment horizontal="center" vertical="center" wrapText="1"/>
      <protection locked="0"/>
    </xf>
    <xf numFmtId="3" fontId="224" fillId="34" borderId="54" xfId="40" applyNumberFormat="1" applyFont="1" applyFill="1" applyBorder="1" applyAlignment="1" applyProtection="1">
      <alignment horizontal="center" vertical="center" wrapText="1"/>
      <protection locked="0"/>
    </xf>
    <xf numFmtId="0" fontId="205" fillId="34" borderId="53" xfId="0" applyFont="1" applyFill="1" applyBorder="1" applyAlignment="1">
      <alignment horizontal="center" vertical="center" wrapText="1"/>
    </xf>
    <xf numFmtId="0" fontId="205" fillId="34" borderId="54" xfId="0" applyFont="1" applyFill="1" applyBorder="1" applyAlignment="1">
      <alignment horizontal="center" vertical="center" wrapText="1"/>
    </xf>
    <xf numFmtId="3" fontId="224" fillId="34" borderId="1" xfId="40" applyNumberFormat="1" applyFont="1" applyFill="1" applyBorder="1" applyAlignment="1" applyProtection="1">
      <alignment horizontal="center" vertical="center" wrapText="1"/>
      <protection locked="0"/>
    </xf>
    <xf numFmtId="3" fontId="224" fillId="34" borderId="39" xfId="40" applyNumberFormat="1" applyFont="1" applyFill="1" applyBorder="1" applyAlignment="1" applyProtection="1">
      <alignment horizontal="center" vertical="center" wrapText="1"/>
      <protection locked="0"/>
    </xf>
    <xf numFmtId="2" fontId="236" fillId="0" borderId="55" xfId="37" applyNumberFormat="1" applyFont="1" applyFill="1" applyBorder="1" applyAlignment="1">
      <alignment horizontal="center" vertical="center" wrapText="1"/>
    </xf>
    <xf numFmtId="0" fontId="205" fillId="0" borderId="2" xfId="0" applyFont="1" applyBorder="1" applyAlignment="1">
      <alignment horizontal="center" vertical="center"/>
    </xf>
    <xf numFmtId="2" fontId="224" fillId="0" borderId="55" xfId="42" applyNumberFormat="1" applyFont="1" applyFill="1" applyBorder="1" applyAlignment="1" applyProtection="1">
      <alignment horizontal="center" vertical="center" wrapText="1"/>
      <protection locked="0"/>
    </xf>
    <xf numFmtId="2" fontId="224" fillId="0" borderId="10" xfId="42" applyNumberFormat="1" applyFont="1" applyFill="1" applyBorder="1" applyAlignment="1" applyProtection="1">
      <alignment horizontal="center" vertical="center" wrapText="1"/>
      <protection locked="0"/>
    </xf>
    <xf numFmtId="2" fontId="224" fillId="0" borderId="2" xfId="42" applyNumberFormat="1" applyFont="1" applyFill="1" applyBorder="1" applyAlignment="1" applyProtection="1">
      <alignment horizontal="center" vertical="center" wrapText="1"/>
      <protection locked="0"/>
    </xf>
    <xf numFmtId="3" fontId="224" fillId="17" borderId="3" xfId="42" applyNumberFormat="1" applyFont="1" applyFill="1" applyBorder="1" applyAlignment="1" applyProtection="1">
      <alignment horizontal="center" vertical="center" wrapText="1"/>
      <protection locked="0"/>
    </xf>
    <xf numFmtId="3" fontId="224" fillId="17" borderId="7" xfId="42" applyNumberFormat="1" applyFont="1" applyFill="1" applyBorder="1" applyAlignment="1" applyProtection="1">
      <alignment horizontal="center" vertical="center" wrapText="1"/>
      <protection locked="0"/>
    </xf>
    <xf numFmtId="3" fontId="224" fillId="0" borderId="16" xfId="40" applyNumberFormat="1" applyFont="1" applyFill="1" applyBorder="1" applyAlignment="1" applyProtection="1">
      <alignment horizontal="center" vertical="center"/>
      <protection locked="0"/>
    </xf>
    <xf numFmtId="3" fontId="224" fillId="0" borderId="19" xfId="40" applyNumberFormat="1" applyFont="1" applyFill="1" applyBorder="1" applyAlignment="1" applyProtection="1">
      <alignment horizontal="center" vertical="center"/>
      <protection locked="0"/>
    </xf>
    <xf numFmtId="3" fontId="224" fillId="0" borderId="17" xfId="40" applyNumberFormat="1" applyFont="1" applyFill="1" applyBorder="1" applyAlignment="1" applyProtection="1">
      <alignment horizontal="center" vertical="center"/>
      <protection locked="0"/>
    </xf>
    <xf numFmtId="3" fontId="224" fillId="0" borderId="20" xfId="40" applyNumberFormat="1" applyFont="1" applyFill="1" applyBorder="1" applyAlignment="1" applyProtection="1">
      <alignment horizontal="center" vertical="center"/>
      <protection locked="0"/>
    </xf>
    <xf numFmtId="3" fontId="224" fillId="0" borderId="18" xfId="40" applyNumberFormat="1" applyFont="1" applyFill="1" applyBorder="1" applyAlignment="1" applyProtection="1">
      <alignment horizontal="center" vertical="center"/>
      <protection locked="0"/>
    </xf>
    <xf numFmtId="3" fontId="224" fillId="0" borderId="6" xfId="40" applyNumberFormat="1" applyFont="1" applyFill="1" applyBorder="1" applyAlignment="1" applyProtection="1">
      <alignment horizontal="center" vertical="center"/>
      <protection locked="0"/>
    </xf>
    <xf numFmtId="3" fontId="224" fillId="0" borderId="52" xfId="40" applyNumberFormat="1" applyFont="1" applyFill="1" applyBorder="1" applyAlignment="1" applyProtection="1">
      <alignment horizontal="center" vertical="center" wrapText="1"/>
      <protection locked="0"/>
    </xf>
    <xf numFmtId="3" fontId="224" fillId="0" borderId="54" xfId="40" applyNumberFormat="1" applyFont="1" applyFill="1" applyBorder="1" applyAlignment="1" applyProtection="1">
      <alignment horizontal="center" vertical="center" wrapText="1"/>
      <protection locked="0"/>
    </xf>
    <xf numFmtId="0" fontId="205" fillId="0" borderId="53" xfId="0" applyFont="1" applyBorder="1" applyAlignment="1">
      <alignment horizontal="center" vertical="center" wrapText="1"/>
    </xf>
    <xf numFmtId="2" fontId="224" fillId="0" borderId="52" xfId="40" applyNumberFormat="1" applyFont="1" applyFill="1" applyBorder="1" applyAlignment="1" applyProtection="1">
      <alignment horizontal="center" vertical="center" wrapText="1"/>
      <protection locked="0"/>
    </xf>
    <xf numFmtId="2" fontId="224" fillId="0" borderId="54" xfId="40" applyNumberFormat="1" applyFont="1" applyFill="1" applyBorder="1" applyAlignment="1" applyProtection="1">
      <alignment horizontal="center" vertical="center" wrapText="1"/>
      <protection locked="0"/>
    </xf>
    <xf numFmtId="0" fontId="205" fillId="0" borderId="54" xfId="0" applyFont="1" applyBorder="1" applyAlignment="1">
      <alignment horizontal="center" vertical="center" wrapText="1"/>
    </xf>
    <xf numFmtId="2" fontId="225" fillId="0" borderId="3" xfId="42" applyNumberFormat="1" applyFont="1" applyFill="1" applyBorder="1" applyAlignment="1" applyProtection="1">
      <alignment horizontal="center" vertical="center"/>
      <protection locked="0"/>
    </xf>
    <xf numFmtId="2" fontId="225" fillId="0" borderId="54" xfId="42" applyNumberFormat="1" applyFont="1" applyFill="1" applyBorder="1" applyAlignment="1" applyProtection="1">
      <alignment horizontal="center" vertical="center"/>
      <protection locked="0"/>
    </xf>
    <xf numFmtId="0" fontId="160" fillId="34" borderId="1" xfId="42" applyFont="1" applyFill="1" applyBorder="1" applyAlignment="1" applyProtection="1">
      <alignment horizontal="center" vertical="center"/>
      <protection locked="0"/>
    </xf>
    <xf numFmtId="0" fontId="226" fillId="17" borderId="3" xfId="41" applyFont="1" applyFill="1" applyBorder="1" applyAlignment="1">
      <alignment horizontal="center" vertical="center" wrapText="1"/>
    </xf>
    <xf numFmtId="0" fontId="226" fillId="17" borderId="7" xfId="41" applyFont="1" applyFill="1" applyBorder="1" applyAlignment="1">
      <alignment horizontal="center" vertical="center" wrapText="1"/>
    </xf>
    <xf numFmtId="0" fontId="9" fillId="0" borderId="8" xfId="4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218" fillId="0" borderId="0" xfId="681" applyFont="1" applyFill="1" applyBorder="1" applyAlignment="1">
      <alignment horizontal="center" wrapText="1"/>
    </xf>
    <xf numFmtId="0" fontId="133" fillId="0" borderId="71" xfId="681" applyFont="1" applyFill="1" applyBorder="1" applyAlignment="1">
      <alignment horizontal="right" vertical="center" wrapText="1"/>
    </xf>
    <xf numFmtId="0" fontId="133" fillId="0" borderId="17" xfId="681" applyFont="1" applyFill="1" applyBorder="1" applyAlignment="1">
      <alignment horizontal="left" vertical="center" wrapText="1"/>
    </xf>
    <xf numFmtId="0" fontId="133" fillId="0" borderId="0" xfId="681" applyFont="1" applyFill="1" applyBorder="1" applyAlignment="1">
      <alignment horizontal="left" vertical="center" wrapText="1"/>
    </xf>
    <xf numFmtId="0" fontId="161" fillId="0" borderId="0" xfId="664" applyFont="1" applyBorder="1" applyAlignment="1">
      <alignment horizontal="center" vertical="center" wrapText="1"/>
    </xf>
    <xf numFmtId="0" fontId="161" fillId="79" borderId="0" xfId="664" applyFont="1" applyFill="1" applyBorder="1" applyAlignment="1">
      <alignment horizontal="center" vertical="center" wrapText="1"/>
    </xf>
    <xf numFmtId="0" fontId="129" fillId="0" borderId="8" xfId="664" applyFont="1" applyBorder="1" applyAlignment="1">
      <alignment horizontal="left"/>
    </xf>
    <xf numFmtId="0" fontId="160" fillId="0" borderId="1" xfId="664" applyFont="1" applyBorder="1" applyAlignment="1">
      <alignment horizontal="center" wrapText="1"/>
    </xf>
    <xf numFmtId="0" fontId="129" fillId="0" borderId="1" xfId="664" applyFont="1" applyBorder="1" applyAlignment="1">
      <alignment horizontal="center" vertical="center" wrapText="1"/>
    </xf>
    <xf numFmtId="0" fontId="167" fillId="0" borderId="7" xfId="674" applyFont="1" applyBorder="1" applyAlignment="1">
      <alignment horizontal="center" vertical="center" wrapText="1"/>
    </xf>
    <xf numFmtId="0" fontId="167" fillId="0" borderId="1" xfId="674" applyFont="1" applyBorder="1" applyAlignment="1">
      <alignment horizontal="center" vertical="center" wrapText="1"/>
    </xf>
    <xf numFmtId="0" fontId="169" fillId="0" borderId="1" xfId="674" applyFont="1" applyBorder="1" applyAlignment="1">
      <alignment horizontal="center" vertical="center" wrapText="1"/>
    </xf>
    <xf numFmtId="0" fontId="167" fillId="0" borderId="3" xfId="674" applyFont="1" applyBorder="1" applyAlignment="1">
      <alignment horizontal="center" vertical="center" wrapText="1"/>
    </xf>
    <xf numFmtId="0" fontId="165" fillId="0" borderId="0" xfId="674" applyFont="1" applyBorder="1" applyAlignment="1">
      <alignment horizontal="center" vertical="center" wrapText="1"/>
    </xf>
    <xf numFmtId="0" fontId="166" fillId="0" borderId="0" xfId="674" applyFont="1" applyBorder="1" applyAlignment="1">
      <alignment horizontal="center" vertical="center" wrapText="1"/>
    </xf>
    <xf numFmtId="0" fontId="167" fillId="0" borderId="0" xfId="674" applyFont="1" applyBorder="1" applyAlignment="1">
      <alignment horizontal="center" vertical="center" wrapText="1"/>
    </xf>
    <xf numFmtId="0" fontId="168" fillId="0" borderId="0" xfId="674" applyFont="1" applyBorder="1" applyAlignment="1">
      <alignment horizontal="right" vertical="center" wrapText="1"/>
    </xf>
    <xf numFmtId="0" fontId="167" fillId="0" borderId="0" xfId="674" applyFont="1" applyBorder="1" applyAlignment="1">
      <alignment horizontal="center" wrapText="1"/>
    </xf>
    <xf numFmtId="0" fontId="154" fillId="0" borderId="0" xfId="0" applyFont="1" applyAlignment="1">
      <alignment horizontal="left" vertical="top" wrapText="1"/>
    </xf>
    <xf numFmtId="0" fontId="155" fillId="0" borderId="0" xfId="0" applyFont="1" applyAlignment="1">
      <alignment horizontal="center" vertical="top"/>
    </xf>
    <xf numFmtId="0" fontId="156" fillId="0" borderId="0" xfId="0" applyFont="1" applyAlignment="1">
      <alignment horizontal="left" vertical="top" wrapText="1"/>
    </xf>
    <xf numFmtId="0" fontId="34" fillId="0" borderId="40" xfId="671" applyFont="1" applyBorder="1" applyAlignment="1">
      <alignment horizontal="center" vertical="center" wrapText="1"/>
    </xf>
    <xf numFmtId="0" fontId="34" fillId="0" borderId="20" xfId="671" applyFont="1" applyBorder="1" applyAlignment="1">
      <alignment horizontal="center" vertical="center" wrapText="1"/>
    </xf>
    <xf numFmtId="0" fontId="34" fillId="0" borderId="27" xfId="671" applyFont="1" applyBorder="1" applyAlignment="1">
      <alignment horizontal="center" vertical="center" wrapText="1"/>
    </xf>
    <xf numFmtId="0" fontId="155" fillId="0" borderId="0" xfId="0" applyFont="1" applyAlignment="1">
      <alignment horizontal="center"/>
    </xf>
    <xf numFmtId="0" fontId="155" fillId="0" borderId="0" xfId="0" applyFont="1" applyAlignment="1">
      <alignment horizontal="center" vertical="top" wrapText="1"/>
    </xf>
    <xf numFmtId="0" fontId="34" fillId="0" borderId="14" xfId="671" applyFont="1" applyBorder="1" applyAlignment="1">
      <alignment horizontal="center" vertical="center" wrapText="1"/>
    </xf>
    <xf numFmtId="0" fontId="34" fillId="0" borderId="10" xfId="671" applyFont="1" applyBorder="1" applyAlignment="1">
      <alignment horizontal="center" vertical="center" wrapText="1"/>
    </xf>
    <xf numFmtId="0" fontId="34" fillId="0" borderId="26" xfId="671" applyFont="1" applyBorder="1" applyAlignment="1">
      <alignment horizontal="center" vertical="center" wrapText="1"/>
    </xf>
    <xf numFmtId="0" fontId="30" fillId="0" borderId="49" xfId="0" applyFont="1" applyBorder="1" applyAlignment="1">
      <alignment horizontal="left"/>
    </xf>
    <xf numFmtId="0" fontId="158" fillId="0" borderId="0" xfId="0" applyFont="1" applyAlignment="1">
      <alignment horizontal="center"/>
    </xf>
    <xf numFmtId="0" fontId="157" fillId="0" borderId="0" xfId="0" applyFont="1" applyAlignment="1">
      <alignment horizontal="center" vertical="top" wrapText="1"/>
    </xf>
    <xf numFmtId="0" fontId="158" fillId="0" borderId="0" xfId="0" applyFont="1" applyAlignment="1">
      <alignment horizontal="center" vertical="top" wrapText="1"/>
    </xf>
    <xf numFmtId="0" fontId="34" fillId="0" borderId="14" xfId="671" applyFont="1" applyFill="1" applyBorder="1" applyAlignment="1">
      <alignment horizontal="center" vertical="center" wrapText="1"/>
    </xf>
    <xf numFmtId="0" fontId="34" fillId="0" borderId="10" xfId="671" applyFont="1" applyFill="1" applyBorder="1" applyAlignment="1">
      <alignment horizontal="center" vertical="center" wrapText="1"/>
    </xf>
    <xf numFmtId="0" fontId="34" fillId="0" borderId="26" xfId="671" applyFont="1" applyFill="1" applyBorder="1" applyAlignment="1">
      <alignment horizontal="center" vertical="center" wrapText="1"/>
    </xf>
    <xf numFmtId="170" fontId="129" fillId="0" borderId="0" xfId="664" applyNumberFormat="1" applyFont="1" applyBorder="1" applyAlignment="1">
      <alignment horizontal="center"/>
    </xf>
    <xf numFmtId="0" fontId="129" fillId="0" borderId="8" xfId="664" applyFont="1" applyBorder="1" applyAlignment="1">
      <alignment horizontal="left" wrapText="1"/>
    </xf>
    <xf numFmtId="0" fontId="159" fillId="0" borderId="0" xfId="672" applyFont="1" applyAlignment="1">
      <alignment horizontal="center"/>
    </xf>
    <xf numFmtId="0" fontId="159" fillId="0" borderId="8" xfId="672" applyFont="1" applyBorder="1" applyAlignment="1">
      <alignment horizontal="left"/>
    </xf>
    <xf numFmtId="0" fontId="159" fillId="0" borderId="1" xfId="672" applyFont="1" applyBorder="1" applyAlignment="1">
      <alignment horizontal="center" wrapText="1"/>
    </xf>
    <xf numFmtId="0" fontId="159" fillId="0" borderId="1" xfId="672" applyFont="1" applyBorder="1" applyAlignment="1">
      <alignment horizontal="center"/>
    </xf>
    <xf numFmtId="0" fontId="159" fillId="0" borderId="0" xfId="672" applyFont="1" applyAlignment="1">
      <alignment horizontal="left"/>
    </xf>
    <xf numFmtId="0" fontId="21" fillId="0" borderId="1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84" fillId="0" borderId="1" xfId="37" applyFont="1" applyFill="1" applyBorder="1" applyAlignment="1">
      <alignment horizontal="center" vertical="center"/>
    </xf>
    <xf numFmtId="0" fontId="66" fillId="0" borderId="1" xfId="37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49" fontId="19" fillId="0" borderId="52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 wrapText="1"/>
    </xf>
    <xf numFmtId="49" fontId="21" fillId="0" borderId="51" xfId="0" applyNumberFormat="1" applyFont="1" applyBorder="1" applyAlignment="1">
      <alignment horizontal="center" vertical="center" wrapText="1"/>
    </xf>
    <xf numFmtId="0" fontId="44" fillId="0" borderId="11" xfId="0" applyNumberFormat="1" applyFont="1" applyFill="1" applyBorder="1" applyAlignment="1" applyProtection="1">
      <alignment horizontal="center" vertical="center" wrapText="1" readingOrder="1"/>
    </xf>
    <xf numFmtId="0" fontId="44" fillId="0" borderId="21" xfId="0" applyNumberFormat="1" applyFont="1" applyFill="1" applyBorder="1" applyAlignment="1" applyProtection="1">
      <alignment horizontal="center" vertical="center" wrapText="1" readingOrder="1"/>
    </xf>
    <xf numFmtId="0" fontId="44" fillId="0" borderId="12" xfId="0" applyNumberFormat="1" applyFont="1" applyFill="1" applyBorder="1" applyAlignment="1" applyProtection="1">
      <alignment horizontal="center" vertical="center" wrapText="1" readingOrder="1"/>
    </xf>
    <xf numFmtId="0" fontId="44" fillId="0" borderId="15" xfId="0" applyNumberFormat="1" applyFont="1" applyFill="1" applyBorder="1" applyAlignment="1" applyProtection="1">
      <alignment horizontal="center" vertical="center" wrapText="1" readingOrder="1"/>
    </xf>
    <xf numFmtId="0" fontId="44" fillId="0" borderId="4" xfId="0" applyNumberFormat="1" applyFont="1" applyFill="1" applyBorder="1" applyAlignment="1" applyProtection="1">
      <alignment horizontal="center" vertical="center" wrapText="1" readingOrder="1"/>
    </xf>
    <xf numFmtId="0" fontId="44" fillId="0" borderId="5" xfId="0" applyNumberFormat="1" applyFont="1" applyFill="1" applyBorder="1" applyAlignment="1" applyProtection="1">
      <alignment horizontal="left" vertical="center" wrapText="1" readingOrder="1"/>
    </xf>
    <xf numFmtId="166" fontId="72" fillId="0" borderId="1" xfId="58" applyNumberFormat="1" applyFont="1" applyFill="1" applyBorder="1" applyAlignment="1" applyProtection="1">
      <alignment horizontal="center" vertical="center"/>
      <protection locked="0"/>
    </xf>
    <xf numFmtId="4" fontId="28" fillId="0" borderId="0" xfId="0" applyNumberFormat="1" applyFont="1" applyFill="1" applyBorder="1" applyAlignment="1" applyProtection="1">
      <alignment horizontal="center" vertical="center" wrapText="1" readingOrder="1"/>
    </xf>
    <xf numFmtId="0" fontId="44" fillId="0" borderId="1" xfId="0" applyNumberFormat="1" applyFont="1" applyFill="1" applyBorder="1" applyAlignment="1" applyProtection="1">
      <alignment horizontal="center" vertical="center" wrapText="1" readingOrder="1"/>
    </xf>
    <xf numFmtId="0" fontId="44" fillId="0" borderId="11" xfId="0" applyNumberFormat="1" applyFont="1" applyFill="1" applyBorder="1" applyAlignment="1" applyProtection="1">
      <alignment horizontal="center" vertical="center" readingOrder="1"/>
    </xf>
    <xf numFmtId="0" fontId="44" fillId="0" borderId="21" xfId="0" applyNumberFormat="1" applyFont="1" applyFill="1" applyBorder="1" applyAlignment="1" applyProtection="1">
      <alignment horizontal="center" vertical="center" readingOrder="1"/>
    </xf>
    <xf numFmtId="0" fontId="44" fillId="0" borderId="12" xfId="0" applyNumberFormat="1" applyFont="1" applyFill="1" applyBorder="1" applyAlignment="1" applyProtection="1">
      <alignment horizontal="center" vertical="center" readingOrder="1"/>
    </xf>
    <xf numFmtId="4" fontId="74" fillId="0" borderId="24" xfId="0" applyNumberFormat="1" applyFont="1" applyFill="1" applyBorder="1" applyAlignment="1">
      <alignment horizontal="center" vertical="center" wrapText="1"/>
    </xf>
    <xf numFmtId="4" fontId="74" fillId="0" borderId="25" xfId="0" applyNumberFormat="1" applyFont="1" applyFill="1" applyBorder="1" applyAlignment="1">
      <alignment horizontal="center" vertical="center" wrapText="1"/>
    </xf>
    <xf numFmtId="166" fontId="72" fillId="0" borderId="39" xfId="58" applyNumberFormat="1" applyFont="1" applyFill="1" applyBorder="1" applyAlignment="1" applyProtection="1">
      <alignment horizontal="center" vertical="center"/>
      <protection locked="0"/>
    </xf>
    <xf numFmtId="4" fontId="28" fillId="0" borderId="5" xfId="0" applyNumberFormat="1" applyFont="1" applyFill="1" applyBorder="1" applyAlignment="1" applyProtection="1">
      <alignment horizontal="center" vertical="center" wrapText="1" readingOrder="1"/>
    </xf>
    <xf numFmtId="0" fontId="131" fillId="0" borderId="0" xfId="667" applyFont="1" applyAlignment="1">
      <alignment horizontal="center" vertical="center" wrapText="1"/>
    </xf>
    <xf numFmtId="0" fontId="131" fillId="0" borderId="41" xfId="667" applyFont="1" applyBorder="1" applyAlignment="1">
      <alignment horizontal="center" vertical="center"/>
    </xf>
    <xf numFmtId="0" fontId="131" fillId="0" borderId="2" xfId="667" applyFont="1" applyBorder="1" applyAlignment="1">
      <alignment horizontal="center" vertical="center"/>
    </xf>
    <xf numFmtId="0" fontId="131" fillId="0" borderId="39" xfId="667" applyFont="1" applyBorder="1" applyAlignment="1">
      <alignment horizontal="center" vertical="center"/>
    </xf>
    <xf numFmtId="0" fontId="198" fillId="71" borderId="58" xfId="37" applyFont="1" applyFill="1" applyBorder="1" applyAlignment="1">
      <alignment horizontal="right" vertical="top" wrapText="1"/>
    </xf>
    <xf numFmtId="0" fontId="198" fillId="71" borderId="59" xfId="37" applyFont="1" applyFill="1" applyBorder="1" applyAlignment="1">
      <alignment horizontal="right" vertical="top" wrapText="1"/>
    </xf>
    <xf numFmtId="0" fontId="199" fillId="71" borderId="58" xfId="37" applyFont="1" applyFill="1" applyBorder="1" applyAlignment="1">
      <alignment vertical="top" wrapText="1"/>
    </xf>
    <xf numFmtId="0" fontId="199" fillId="71" borderId="60" xfId="37" applyFont="1" applyFill="1" applyBorder="1" applyAlignment="1">
      <alignment vertical="top" wrapText="1"/>
    </xf>
    <xf numFmtId="0" fontId="199" fillId="71" borderId="59" xfId="37" applyFont="1" applyFill="1" applyBorder="1" applyAlignment="1">
      <alignment vertical="top" wrapText="1"/>
    </xf>
    <xf numFmtId="0" fontId="198" fillId="72" borderId="58" xfId="37" applyFont="1" applyFill="1" applyBorder="1" applyAlignment="1">
      <alignment horizontal="right" vertical="center" wrapText="1"/>
    </xf>
    <xf numFmtId="0" fontId="198" fillId="72" borderId="59" xfId="37" applyFont="1" applyFill="1" applyBorder="1" applyAlignment="1">
      <alignment horizontal="right" vertical="center" wrapText="1"/>
    </xf>
    <xf numFmtId="0" fontId="200" fillId="71" borderId="58" xfId="37" applyFont="1" applyFill="1" applyBorder="1" applyAlignment="1">
      <alignment vertical="top" wrapText="1"/>
    </xf>
    <xf numFmtId="0" fontId="200" fillId="71" borderId="60" xfId="37" applyFont="1" applyFill="1" applyBorder="1" applyAlignment="1">
      <alignment vertical="top" wrapText="1"/>
    </xf>
    <xf numFmtId="0" fontId="200" fillId="71" borderId="59" xfId="37" applyFont="1" applyFill="1" applyBorder="1" applyAlignment="1">
      <alignment vertical="top" wrapText="1"/>
    </xf>
  </cellXfs>
  <cellStyles count="684">
    <cellStyle name="?’һғһ‚›ү" xfId="86"/>
    <cellStyle name="?’һғһ‚›ү 10" xfId="87"/>
    <cellStyle name="?’һғһ‚›ү 11" xfId="88"/>
    <cellStyle name="?’һғһ‚›ү 12" xfId="89"/>
    <cellStyle name="?’һғһ‚›ү 13" xfId="90"/>
    <cellStyle name="?’һғһ‚›ү 14" xfId="91"/>
    <cellStyle name="?’һғһ‚›ү 15" xfId="92"/>
    <cellStyle name="?’һғһ‚›ү 2" xfId="93"/>
    <cellStyle name="?’һғһ‚›ү 3" xfId="94"/>
    <cellStyle name="?’һғһ‚›ү 4" xfId="95"/>
    <cellStyle name="?’һғһ‚›ү 5" xfId="96"/>
    <cellStyle name="?’һғһ‚›ү 6" xfId="97"/>
    <cellStyle name="?’һғһ‚›ү 7" xfId="98"/>
    <cellStyle name="?’һғһ‚›ү 8" xfId="99"/>
    <cellStyle name="?’һғһ‚›ү 9" xfId="100"/>
    <cellStyle name="?’ћѓћ‚›‰" xfId="71"/>
    <cellStyle name="?’ћѓћ‚›‰ 10" xfId="72"/>
    <cellStyle name="?’ћѓћ‚›‰ 11" xfId="73"/>
    <cellStyle name="?’ћѓћ‚›‰ 12" xfId="74"/>
    <cellStyle name="?’ћѓћ‚›‰ 13" xfId="75"/>
    <cellStyle name="?’ћѓћ‚›‰ 14" xfId="76"/>
    <cellStyle name="?’ћѓћ‚›‰ 15" xfId="77"/>
    <cellStyle name="?’ћѓћ‚›‰ 2" xfId="78"/>
    <cellStyle name="?’ћѓћ‚›‰ 3" xfId="79"/>
    <cellStyle name="?’ћѓћ‚›‰ 4" xfId="80"/>
    <cellStyle name="?’ћѓћ‚›‰ 5" xfId="81"/>
    <cellStyle name="?’ћѓћ‚›‰ 6" xfId="82"/>
    <cellStyle name="?’ћѓћ‚›‰ 7" xfId="83"/>
    <cellStyle name="?’ћѓћ‚›‰ 8" xfId="84"/>
    <cellStyle name="?’ћѓћ‚›‰ 9" xfId="85"/>
    <cellStyle name="_001 План ГЗ 201109 (информатизация)" xfId="101"/>
    <cellStyle name="_001-002 ОК" xfId="102"/>
    <cellStyle name="_001-002 ОК_Павл" xfId="103"/>
    <cellStyle name="_001-002 ОК_Павлодар" xfId="104"/>
    <cellStyle name="_007 рай.цент ПФЗОЖ 2008 нор" xfId="105"/>
    <cellStyle name="_007 рай.цент ПФЗОЖ 2008 норм" xfId="106"/>
    <cellStyle name="_040 повыш" xfId="107"/>
    <cellStyle name="_040 повыш 07" xfId="108"/>
    <cellStyle name="_1 гор.бол 2008-2010" xfId="109"/>
    <cellStyle name="_26.12.08 кап.ремонт 2009" xfId="110"/>
    <cellStyle name="_Акмо фин" xfId="111"/>
    <cellStyle name="_Бюджет_2009_все" xfId="112"/>
    <cellStyle name="_Бюджет_2010_2012" xfId="113"/>
    <cellStyle name="_Бюро расходы (измен)" xfId="114"/>
    <cellStyle name="_Бюро расходы МТО (Сауле)" xfId="115"/>
    <cellStyle name="_ГОБМП-2. Формы Минэкономики" xfId="116"/>
    <cellStyle name="_гор.пол в 19 мкр 2010" xfId="117"/>
    <cellStyle name="_Гульназ" xfId="118"/>
    <cellStyle name="_Гульназ_Павл" xfId="119"/>
    <cellStyle name="_Гульназ_Павлодар" xfId="120"/>
    <cellStyle name="_ДОГОВОРА" xfId="121"/>
    <cellStyle name="_доуком 2008" xfId="122"/>
    <cellStyle name="_доукомп ПМСП и узкие" xfId="123"/>
    <cellStyle name="_жум.туб 2008-2010" xfId="124"/>
    <cellStyle name="_Закуп 017_ККСОМУ" xfId="125"/>
    <cellStyle name="_зарплаты 2008-018 МИАЦ 011" xfId="126"/>
    <cellStyle name="_Заявка КОМУ" xfId="127"/>
    <cellStyle name="_Информация по трансфертам на 01 января 2010гАктобе" xfId="128"/>
    <cellStyle name="_кап ремонт 2007" xfId="129"/>
    <cellStyle name="_кап.рем 2004-2007 СКО" xfId="130"/>
    <cellStyle name="_ККСОМУ" xfId="131"/>
    <cellStyle name="_ККСОМУ (лимиты)" xfId="132"/>
    <cellStyle name="_ККСОМУ (прил 46) КОНЕЦ" xfId="133"/>
    <cellStyle name="_ККСОМУ 2010-2012 (расчеты)" xfId="134"/>
    <cellStyle name="_ККСОМУ_015" xfId="135"/>
    <cellStyle name="_ККСОМУ_Павл" xfId="136"/>
    <cellStyle name="_ККСОМУ_Павлодар" xfId="137"/>
    <cellStyle name="_КОМУ (прил 46) 283" xfId="138"/>
    <cellStyle name="_КОМУ доп потребность" xfId="139"/>
    <cellStyle name="_мат.тех оснащ 2007" xfId="140"/>
    <cellStyle name="_мат.тех оснащ 2007 урезанный" xfId="141"/>
    <cellStyle name="_Месячная разбивка госзаказа" xfId="142"/>
    <cellStyle name="_МЗ РК НПА" xfId="143"/>
    <cellStyle name="_обл.туб 2008-2010" xfId="144"/>
    <cellStyle name="_Освоение" xfId="145"/>
    <cellStyle name="_Отчет трансферты МЗ 2009 года Атырауской области" xfId="146"/>
    <cellStyle name="_Передвижка" xfId="147"/>
    <cellStyle name="_Передвижка 015" xfId="148"/>
    <cellStyle name="_Передвижка_август (платежи)" xfId="149"/>
    <cellStyle name="_Передвижка_апрель" xfId="150"/>
    <cellStyle name="_Передвижка_июль" xfId="151"/>
    <cellStyle name="_Передвижка_июнь" xfId="152"/>
    <cellStyle name="_Передвижка_июнь (платежи)" xfId="153"/>
    <cellStyle name="_Передвижка_май (платежи)" xfId="154"/>
    <cellStyle name="_Передвижка_март" xfId="155"/>
    <cellStyle name="_Передвижка_октябрь (платежи)" xfId="156"/>
    <cellStyle name="_Передвижка_сентябрь (платежи)" xfId="157"/>
    <cellStyle name="_Передвижка_февраль" xfId="158"/>
    <cellStyle name="_План закуп_ККСОМУ_2009" xfId="159"/>
    <cellStyle name="_План финансирования РБ 2009" xfId="160"/>
    <cellStyle name="_Платежи_ККСОМУ" xfId="161"/>
    <cellStyle name="_полик Аккайын 2010" xfId="162"/>
    <cellStyle name="_Приложения для ОДЗ1" xfId="163"/>
    <cellStyle name="_Приложения для ОДЗ1 привезла" xfId="164"/>
    <cellStyle name="_проект 2006 шаблон" xfId="165"/>
    <cellStyle name="_разбивка ЦТТ платежи и обяз-ва" xfId="166"/>
    <cellStyle name="_Расходы РИАЦ" xfId="167"/>
    <cellStyle name="_Резерв МЗ" xfId="168"/>
    <cellStyle name="_Свод" xfId="169"/>
    <cellStyle name="_СВОД размещение" xfId="170"/>
    <cellStyle name="_свод РБ 2008-2010" xfId="171"/>
    <cellStyle name="_свод РБ 2008-2010 СКО ЦЕЛ ТРАНС" xfId="172"/>
    <cellStyle name="_СВОД_платежи_ККСОМУ" xfId="173"/>
    <cellStyle name="_СВОД_платежи_ККСОМУ_Павл" xfId="174"/>
    <cellStyle name="_СВОД_платежи_ККСОМУ_Павлодар" xfId="175"/>
    <cellStyle name="_согласов" xfId="176"/>
    <cellStyle name="_Согласование 85 ед" xfId="177"/>
    <cellStyle name="_среднесрочн 21.09.05г. инвест" xfId="178"/>
    <cellStyle name="_стац ЦРБ Акжар 2008" xfId="179"/>
    <cellStyle name="_строит 269-019-011" xfId="180"/>
    <cellStyle name="_ТРАНСФ ДЛЯ   Л Н" xfId="181"/>
    <cellStyle name="_туб Муср 2010" xfId="182"/>
    <cellStyle name="_формы по среднесроч плану" xfId="183"/>
    <cellStyle name="_ФОТ КОМУ 85" xfId="184"/>
    <cellStyle name="_центр крови 2010" xfId="185"/>
    <cellStyle name="_Шаблон бюджетки" xfId="186"/>
    <cellStyle name="_Шаблон бюджетки_Павл" xfId="187"/>
    <cellStyle name="_Шаблон бюджетки_Павлодар" xfId="188"/>
    <cellStyle name="”?ќђќ‘ћ‚›‰" xfId="189"/>
    <cellStyle name="”?ќђќ‘ћ‚›‰ 10" xfId="190"/>
    <cellStyle name="”?ќђќ‘ћ‚›‰ 11" xfId="191"/>
    <cellStyle name="”?ќђќ‘ћ‚›‰ 12" xfId="192"/>
    <cellStyle name="”?ќђќ‘ћ‚›‰ 13" xfId="193"/>
    <cellStyle name="”?ќђќ‘ћ‚›‰ 14" xfId="194"/>
    <cellStyle name="”?ќђќ‘ћ‚›‰ 15" xfId="195"/>
    <cellStyle name="”?ќђќ‘ћ‚›‰ 2" xfId="196"/>
    <cellStyle name="”?ќђќ‘ћ‚›‰ 3" xfId="197"/>
    <cellStyle name="”?ќђќ‘ћ‚›‰ 4" xfId="198"/>
    <cellStyle name="”?ќђќ‘ћ‚›‰ 5" xfId="199"/>
    <cellStyle name="”?ќђќ‘ћ‚›‰ 6" xfId="200"/>
    <cellStyle name="”?ќђќ‘ћ‚›‰ 7" xfId="201"/>
    <cellStyle name="”?ќђќ‘ћ‚›‰ 8" xfId="202"/>
    <cellStyle name="”?ќђќ‘ћ‚›‰ 9" xfId="203"/>
    <cellStyle name="”?қђқ‘һ‚›ү" xfId="204"/>
    <cellStyle name="”?қђқ‘һ‚›ү 10" xfId="205"/>
    <cellStyle name="”?қђқ‘һ‚›ү 11" xfId="206"/>
    <cellStyle name="”?қђқ‘һ‚›ү 12" xfId="207"/>
    <cellStyle name="”?қђқ‘һ‚›ү 13" xfId="208"/>
    <cellStyle name="”?қђқ‘һ‚›ү 14" xfId="209"/>
    <cellStyle name="”?қђқ‘һ‚›ү 15" xfId="210"/>
    <cellStyle name="”?қђқ‘һ‚›ү 2" xfId="211"/>
    <cellStyle name="”?қђқ‘һ‚›ү 3" xfId="212"/>
    <cellStyle name="”?қђқ‘һ‚›ү 4" xfId="213"/>
    <cellStyle name="”?қђқ‘һ‚›ү 5" xfId="214"/>
    <cellStyle name="”?қђқ‘һ‚›ү 6" xfId="215"/>
    <cellStyle name="”?қђқ‘һ‚›ү 7" xfId="216"/>
    <cellStyle name="”?қђқ‘һ‚›ү 8" xfId="217"/>
    <cellStyle name="”?қђқ‘һ‚›ү 9" xfId="218"/>
    <cellStyle name="”?љ‘?ђһ‚ђққ›ү" xfId="234"/>
    <cellStyle name="”?љ‘?ђһ‚ђққ›ү 10" xfId="235"/>
    <cellStyle name="”?љ‘?ђһ‚ђққ›ү 11" xfId="236"/>
    <cellStyle name="”?љ‘?ђһ‚ђққ›ү 12" xfId="237"/>
    <cellStyle name="”?љ‘?ђһ‚ђққ›ү 13" xfId="238"/>
    <cellStyle name="”?љ‘?ђһ‚ђққ›ү 14" xfId="239"/>
    <cellStyle name="”?љ‘?ђһ‚ђққ›ү 15" xfId="240"/>
    <cellStyle name="”?љ‘?ђһ‚ђққ›ү 2" xfId="241"/>
    <cellStyle name="”?љ‘?ђһ‚ђққ›ү 3" xfId="242"/>
    <cellStyle name="”?љ‘?ђһ‚ђққ›ү 4" xfId="243"/>
    <cellStyle name="”?љ‘?ђһ‚ђққ›ү 5" xfId="244"/>
    <cellStyle name="”?љ‘?ђһ‚ђққ›ү 6" xfId="245"/>
    <cellStyle name="”?љ‘?ђһ‚ђққ›ү 7" xfId="246"/>
    <cellStyle name="”?љ‘?ђһ‚ђққ›ү 8" xfId="247"/>
    <cellStyle name="”?љ‘?ђһ‚ђққ›ү 9" xfId="248"/>
    <cellStyle name="”?љ‘?ђћ‚ђќќ›‰" xfId="219"/>
    <cellStyle name="”?љ‘?ђћ‚ђќќ›‰ 10" xfId="220"/>
    <cellStyle name="”?љ‘?ђћ‚ђќќ›‰ 11" xfId="221"/>
    <cellStyle name="”?љ‘?ђћ‚ђќќ›‰ 12" xfId="222"/>
    <cellStyle name="”?љ‘?ђћ‚ђќќ›‰ 13" xfId="223"/>
    <cellStyle name="”?љ‘?ђћ‚ђќќ›‰ 14" xfId="224"/>
    <cellStyle name="”?љ‘?ђћ‚ђќќ›‰ 15" xfId="225"/>
    <cellStyle name="”?љ‘?ђћ‚ђќќ›‰ 2" xfId="226"/>
    <cellStyle name="”?љ‘?ђћ‚ђќќ›‰ 3" xfId="227"/>
    <cellStyle name="”?љ‘?ђћ‚ђќќ›‰ 4" xfId="228"/>
    <cellStyle name="”?љ‘?ђћ‚ђќќ›‰ 5" xfId="229"/>
    <cellStyle name="”?љ‘?ђћ‚ђќќ›‰ 6" xfId="230"/>
    <cellStyle name="”?љ‘?ђћ‚ђќќ›‰ 7" xfId="231"/>
    <cellStyle name="”?љ‘?ђћ‚ђќќ›‰ 8" xfId="232"/>
    <cellStyle name="”?љ‘?ђћ‚ђќќ›‰ 9" xfId="233"/>
    <cellStyle name="”€ќђќ‘ћ‚›‰" xfId="249"/>
    <cellStyle name="”€ќђќ‘ћ‚›‰ 10" xfId="250"/>
    <cellStyle name="”€ќђќ‘ћ‚›‰ 11" xfId="251"/>
    <cellStyle name="”€ќђќ‘ћ‚›‰ 12" xfId="252"/>
    <cellStyle name="”€ќђќ‘ћ‚›‰ 13" xfId="253"/>
    <cellStyle name="”€ќђќ‘ћ‚›‰ 14" xfId="254"/>
    <cellStyle name="”€ќђќ‘ћ‚›‰ 15" xfId="255"/>
    <cellStyle name="”€ќђќ‘ћ‚›‰ 2" xfId="256"/>
    <cellStyle name="”€ќђќ‘ћ‚›‰ 3" xfId="257"/>
    <cellStyle name="”€ќђќ‘ћ‚›‰ 4" xfId="258"/>
    <cellStyle name="”€ќђќ‘ћ‚›‰ 5" xfId="259"/>
    <cellStyle name="”€ќђќ‘ћ‚›‰ 6" xfId="260"/>
    <cellStyle name="”€ќђќ‘ћ‚›‰ 7" xfId="261"/>
    <cellStyle name="”€ќђќ‘ћ‚›‰ 8" xfId="262"/>
    <cellStyle name="”€ќђќ‘ћ‚›‰ 9" xfId="263"/>
    <cellStyle name="”€қђқ‘һ‚›ү" xfId="264"/>
    <cellStyle name="”€қђқ‘һ‚›ү 10" xfId="265"/>
    <cellStyle name="”€қђқ‘һ‚›ү 11" xfId="266"/>
    <cellStyle name="”€қђқ‘һ‚›ү 12" xfId="267"/>
    <cellStyle name="”€қђқ‘һ‚›ү 13" xfId="268"/>
    <cellStyle name="”€қђқ‘һ‚›ү 14" xfId="269"/>
    <cellStyle name="”€қђқ‘һ‚›ү 15" xfId="270"/>
    <cellStyle name="”€қђқ‘һ‚›ү 2" xfId="271"/>
    <cellStyle name="”€қђқ‘һ‚›ү 3" xfId="272"/>
    <cellStyle name="”€қђқ‘һ‚›ү 4" xfId="273"/>
    <cellStyle name="”€қђқ‘һ‚›ү 5" xfId="274"/>
    <cellStyle name="”€қђқ‘һ‚›ү 6" xfId="275"/>
    <cellStyle name="”€қђқ‘һ‚›ү 7" xfId="276"/>
    <cellStyle name="”€қђқ‘һ‚›ү 8" xfId="277"/>
    <cellStyle name="”€қђқ‘һ‚›ү 9" xfId="278"/>
    <cellStyle name="”€љ‘€ђһ‚ђққ›ү" xfId="294"/>
    <cellStyle name="”€љ‘€ђһ‚ђққ›ү 10" xfId="295"/>
    <cellStyle name="”€љ‘€ђһ‚ђққ›ү 11" xfId="296"/>
    <cellStyle name="”€љ‘€ђһ‚ђққ›ү 12" xfId="297"/>
    <cellStyle name="”€љ‘€ђһ‚ђққ›ү 13" xfId="298"/>
    <cellStyle name="”€љ‘€ђһ‚ђққ›ү 14" xfId="299"/>
    <cellStyle name="”€љ‘€ђһ‚ђққ›ү 15" xfId="300"/>
    <cellStyle name="”€љ‘€ђһ‚ђққ›ү 2" xfId="301"/>
    <cellStyle name="”€љ‘€ђһ‚ђққ›ү 3" xfId="302"/>
    <cellStyle name="”€љ‘€ђһ‚ђққ›ү 4" xfId="303"/>
    <cellStyle name="”€љ‘€ђһ‚ђққ›ү 5" xfId="304"/>
    <cellStyle name="”€љ‘€ђһ‚ђққ›ү 6" xfId="305"/>
    <cellStyle name="”€љ‘€ђһ‚ђққ›ү 7" xfId="306"/>
    <cellStyle name="”€љ‘€ђһ‚ђққ›ү 8" xfId="307"/>
    <cellStyle name="”€љ‘€ђһ‚ђққ›ү 9" xfId="308"/>
    <cellStyle name="”€љ‘€ђћ‚ђќќ›‰" xfId="279"/>
    <cellStyle name="”€љ‘€ђћ‚ђќќ›‰ 10" xfId="280"/>
    <cellStyle name="”€љ‘€ђћ‚ђќќ›‰ 11" xfId="281"/>
    <cellStyle name="”€љ‘€ђћ‚ђќќ›‰ 12" xfId="282"/>
    <cellStyle name="”€љ‘€ђћ‚ђќќ›‰ 13" xfId="283"/>
    <cellStyle name="”€љ‘€ђћ‚ђќќ›‰ 14" xfId="284"/>
    <cellStyle name="”€љ‘€ђћ‚ђќќ›‰ 15" xfId="285"/>
    <cellStyle name="”€љ‘€ђћ‚ђќќ›‰ 2" xfId="286"/>
    <cellStyle name="”€љ‘€ђћ‚ђќќ›‰ 3" xfId="287"/>
    <cellStyle name="”€љ‘€ђћ‚ђќќ›‰ 4" xfId="288"/>
    <cellStyle name="”€љ‘€ђћ‚ђќќ›‰ 5" xfId="289"/>
    <cellStyle name="”€љ‘€ђћ‚ђќќ›‰ 6" xfId="290"/>
    <cellStyle name="”€љ‘€ђћ‚ђќќ›‰ 7" xfId="291"/>
    <cellStyle name="”€љ‘€ђћ‚ђќќ›‰ 8" xfId="292"/>
    <cellStyle name="”€љ‘€ђћ‚ђќќ›‰ 9" xfId="293"/>
    <cellStyle name="”ќђќ‘ћ‚›‰" xfId="309"/>
    <cellStyle name="”ќђќ‘ћ‚›‰ 10" xfId="310"/>
    <cellStyle name="”ќђќ‘ћ‚›‰ 11" xfId="311"/>
    <cellStyle name="”ќђќ‘ћ‚›‰ 12" xfId="312"/>
    <cellStyle name="”ќђќ‘ћ‚›‰ 13" xfId="313"/>
    <cellStyle name="”ќђќ‘ћ‚›‰ 14" xfId="314"/>
    <cellStyle name="”ќђќ‘ћ‚›‰ 15" xfId="315"/>
    <cellStyle name="”ќђќ‘ћ‚›‰ 2" xfId="316"/>
    <cellStyle name="”ќђќ‘ћ‚›‰ 3" xfId="317"/>
    <cellStyle name="”ќђќ‘ћ‚›‰ 4" xfId="318"/>
    <cellStyle name="”ќђќ‘ћ‚›‰ 5" xfId="319"/>
    <cellStyle name="”ќђќ‘ћ‚›‰ 6" xfId="320"/>
    <cellStyle name="”ќђќ‘ћ‚›‰ 7" xfId="321"/>
    <cellStyle name="”ќђќ‘ћ‚›‰ 8" xfId="322"/>
    <cellStyle name="”ќђќ‘ћ‚›‰ 9" xfId="323"/>
    <cellStyle name="”љ‘ђћ‚ђќќ›‰" xfId="324"/>
    <cellStyle name="”љ‘ђћ‚ђќќ›‰ 10" xfId="325"/>
    <cellStyle name="”љ‘ђћ‚ђќќ›‰ 11" xfId="326"/>
    <cellStyle name="”љ‘ђћ‚ђќќ›‰ 12" xfId="327"/>
    <cellStyle name="”љ‘ђћ‚ђќќ›‰ 13" xfId="328"/>
    <cellStyle name="”љ‘ђћ‚ђќќ›‰ 14" xfId="329"/>
    <cellStyle name="”љ‘ђћ‚ђќќ›‰ 15" xfId="330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”љ‘ђћ‚ђќќ›‰ 6" xfId="335"/>
    <cellStyle name="”љ‘ђћ‚ђќќ›‰ 7" xfId="336"/>
    <cellStyle name="”љ‘ђћ‚ђќќ›‰ 8" xfId="337"/>
    <cellStyle name="”љ‘ђћ‚ђќќ›‰ 9" xfId="338"/>
    <cellStyle name="„…ќ…†ќ›‰" xfId="339"/>
    <cellStyle name="„…ќ…†ќ›‰ 10" xfId="340"/>
    <cellStyle name="„…ќ…†ќ›‰ 11" xfId="341"/>
    <cellStyle name="„…ќ…†ќ›‰ 12" xfId="342"/>
    <cellStyle name="„…ќ…†ќ›‰ 13" xfId="343"/>
    <cellStyle name="„…ќ…†ќ›‰ 14" xfId="344"/>
    <cellStyle name="„…ќ…†ќ›‰ 15" xfId="345"/>
    <cellStyle name="„…ќ…†ќ›‰ 2" xfId="346"/>
    <cellStyle name="„…ќ…†ќ›‰ 3" xfId="347"/>
    <cellStyle name="„…ќ…†ќ›‰ 4" xfId="348"/>
    <cellStyle name="„…ќ…†ќ›‰ 5" xfId="349"/>
    <cellStyle name="„…ќ…†ќ›‰ 6" xfId="350"/>
    <cellStyle name="„…ќ…†ќ›‰ 7" xfId="351"/>
    <cellStyle name="„…ќ…†ќ›‰ 8" xfId="352"/>
    <cellStyle name="„…ќ…†ќ›‰ 9" xfId="353"/>
    <cellStyle name="„…қ…†қ›ү" xfId="354"/>
    <cellStyle name="„…қ…†қ›ү 10" xfId="355"/>
    <cellStyle name="„…қ…†қ›ү 11" xfId="356"/>
    <cellStyle name="„…қ…†қ›ү 12" xfId="357"/>
    <cellStyle name="„…қ…†қ›ү 13" xfId="358"/>
    <cellStyle name="„…қ…†қ›ү 14" xfId="359"/>
    <cellStyle name="„…қ…†қ›ү 15" xfId="360"/>
    <cellStyle name="„…қ…†қ›ү 2" xfId="361"/>
    <cellStyle name="„…қ…†қ›ү 3" xfId="362"/>
    <cellStyle name="„…қ…†қ›ү 4" xfId="363"/>
    <cellStyle name="„…қ…†қ›ү 5" xfId="364"/>
    <cellStyle name="„…қ…†қ›ү 6" xfId="365"/>
    <cellStyle name="„…қ…†қ›ү 7" xfId="366"/>
    <cellStyle name="„…қ…†қ›ү 8" xfId="367"/>
    <cellStyle name="„…қ…†қ›ү 9" xfId="368"/>
    <cellStyle name="€’һғһ‚›ү" xfId="384"/>
    <cellStyle name="€’һғһ‚›ү 10" xfId="385"/>
    <cellStyle name="€’һғһ‚›ү 11" xfId="386"/>
    <cellStyle name="€’һғһ‚›ү 12" xfId="387"/>
    <cellStyle name="€’һғһ‚›ү 13" xfId="388"/>
    <cellStyle name="€’һғһ‚›ү 14" xfId="389"/>
    <cellStyle name="€’һғһ‚›ү 15" xfId="390"/>
    <cellStyle name="€’һғһ‚›ү 2" xfId="391"/>
    <cellStyle name="€’һғһ‚›ү 3" xfId="392"/>
    <cellStyle name="€’һғһ‚›ү 4" xfId="393"/>
    <cellStyle name="€’һғһ‚›ү 5" xfId="394"/>
    <cellStyle name="€’һғһ‚›ү 6" xfId="395"/>
    <cellStyle name="€’һғһ‚›ү 7" xfId="396"/>
    <cellStyle name="€’һғһ‚›ү 8" xfId="397"/>
    <cellStyle name="€’һғһ‚›ү 9" xfId="398"/>
    <cellStyle name="€’ћѓћ‚›‰" xfId="369"/>
    <cellStyle name="€’ћѓћ‚›‰ 10" xfId="370"/>
    <cellStyle name="€’ћѓћ‚›‰ 11" xfId="371"/>
    <cellStyle name="€’ћѓћ‚›‰ 12" xfId="372"/>
    <cellStyle name="€’ћѓћ‚›‰ 13" xfId="373"/>
    <cellStyle name="€’ћѓћ‚›‰ 14" xfId="374"/>
    <cellStyle name="€’ћѓћ‚›‰ 15" xfId="375"/>
    <cellStyle name="€’ћѓћ‚›‰ 2" xfId="376"/>
    <cellStyle name="€’ћѓћ‚›‰ 3" xfId="377"/>
    <cellStyle name="€’ћѓћ‚›‰ 4" xfId="378"/>
    <cellStyle name="€’ћѓћ‚›‰ 5" xfId="379"/>
    <cellStyle name="€’ћѓћ‚›‰ 6" xfId="380"/>
    <cellStyle name="€’ћѓћ‚›‰ 7" xfId="381"/>
    <cellStyle name="€’ћѓћ‚›‰ 8" xfId="382"/>
    <cellStyle name="€’ћѓћ‚›‰ 9" xfId="383"/>
    <cellStyle name="‡ђѓћ‹ћ‚ћљ1" xfId="399"/>
    <cellStyle name="‡ђѓћ‹ћ‚ћљ1 10" xfId="400"/>
    <cellStyle name="‡ђѓћ‹ћ‚ћљ1 11" xfId="401"/>
    <cellStyle name="‡ђѓћ‹ћ‚ћљ1 12" xfId="402"/>
    <cellStyle name="‡ђѓћ‹ћ‚ћљ1 13" xfId="403"/>
    <cellStyle name="‡ђѓћ‹ћ‚ћљ1 14" xfId="404"/>
    <cellStyle name="‡ђѓћ‹ћ‚ћљ1 15" xfId="405"/>
    <cellStyle name="‡ђѓћ‹ћ‚ћљ1 2" xfId="406"/>
    <cellStyle name="‡ђѓћ‹ћ‚ћљ1 3" xfId="407"/>
    <cellStyle name="‡ђѓћ‹ћ‚ћљ1 4" xfId="408"/>
    <cellStyle name="‡ђѓћ‹ћ‚ћљ1 5" xfId="409"/>
    <cellStyle name="‡ђѓћ‹ћ‚ћљ1 6" xfId="410"/>
    <cellStyle name="‡ђѓћ‹ћ‚ћљ1 7" xfId="411"/>
    <cellStyle name="‡ђѓћ‹ћ‚ћљ1 8" xfId="412"/>
    <cellStyle name="‡ђѓћ‹ћ‚ћљ1 9" xfId="413"/>
    <cellStyle name="‡ђѓћ‹ћ‚ћљ2" xfId="414"/>
    <cellStyle name="‡ђѓћ‹ћ‚ћљ2 10" xfId="415"/>
    <cellStyle name="‡ђѓћ‹ћ‚ћљ2 11" xfId="416"/>
    <cellStyle name="‡ђѓћ‹ћ‚ћљ2 12" xfId="417"/>
    <cellStyle name="‡ђѓћ‹ћ‚ћљ2 13" xfId="418"/>
    <cellStyle name="‡ђѓћ‹ћ‚ћљ2 14" xfId="419"/>
    <cellStyle name="‡ђѓћ‹ћ‚ћљ2 15" xfId="420"/>
    <cellStyle name="‡ђѓћ‹ћ‚ћљ2 2" xfId="421"/>
    <cellStyle name="‡ђѓћ‹ћ‚ћљ2 3" xfId="422"/>
    <cellStyle name="‡ђѓћ‹ћ‚ћљ2 4" xfId="423"/>
    <cellStyle name="‡ђѓћ‹ћ‚ћљ2 5" xfId="424"/>
    <cellStyle name="‡ђѓћ‹ћ‚ћљ2 6" xfId="425"/>
    <cellStyle name="‡ђѓћ‹ћ‚ћљ2 7" xfId="426"/>
    <cellStyle name="‡ђѓћ‹ћ‚ћљ2 8" xfId="427"/>
    <cellStyle name="‡ђѓћ‹ћ‚ћљ2 9" xfId="428"/>
    <cellStyle name="’ћѓћ‚›‰" xfId="429"/>
    <cellStyle name="’ћѓћ‚›‰ 10" xfId="430"/>
    <cellStyle name="’ћѓћ‚›‰ 11" xfId="431"/>
    <cellStyle name="’ћѓћ‚›‰ 12" xfId="432"/>
    <cellStyle name="’ћѓћ‚›‰ 13" xfId="433"/>
    <cellStyle name="’ћѓћ‚›‰ 14" xfId="434"/>
    <cellStyle name="’ћѓћ‚›‰ 15" xfId="435"/>
    <cellStyle name="’ћѓћ‚›‰ 2" xfId="436"/>
    <cellStyle name="’ћѓћ‚›‰ 3" xfId="437"/>
    <cellStyle name="’ћѓћ‚›‰ 4" xfId="438"/>
    <cellStyle name="’ћѓћ‚›‰ 5" xfId="439"/>
    <cellStyle name="’ћѓћ‚›‰ 6" xfId="440"/>
    <cellStyle name="’ћѓћ‚›‰ 7" xfId="441"/>
    <cellStyle name="’ћѓћ‚›‰ 8" xfId="442"/>
    <cellStyle name="’ћѓћ‚›‰ 9" xfId="443"/>
    <cellStyle name="20% - Accent1" xfId="444"/>
    <cellStyle name="20% - Accent1 2" xfId="445"/>
    <cellStyle name="20% - Accent2" xfId="446"/>
    <cellStyle name="20% - Accent2 2" xfId="447"/>
    <cellStyle name="20% - Accent3" xfId="448"/>
    <cellStyle name="20% - Accent3 2" xfId="449"/>
    <cellStyle name="20% - Accent4" xfId="450"/>
    <cellStyle name="20% - Accent4 2" xfId="451"/>
    <cellStyle name="20% - Accent5" xfId="452"/>
    <cellStyle name="20% - Accent5 2" xfId="453"/>
    <cellStyle name="20% - Accent6" xfId="454"/>
    <cellStyle name="20% - Accent6 2" xfId="455"/>
    <cellStyle name="20% - Акцент1 2" xfId="1"/>
    <cellStyle name="20% - Акцент1 3" xfId="2"/>
    <cellStyle name="20% - Акцент1 4" xfId="3"/>
    <cellStyle name="20% - Акцент2 2" xfId="4"/>
    <cellStyle name="20% - Акцент2 3" xfId="5"/>
    <cellStyle name="20% - Акцент2 4" xfId="6"/>
    <cellStyle name="20% - Акцент3 2" xfId="7"/>
    <cellStyle name="20% - Акцент3 3" xfId="8"/>
    <cellStyle name="20% - Акцент3 4" xfId="9"/>
    <cellStyle name="20% - Акцент4 2" xfId="10"/>
    <cellStyle name="20% - Акцент4 3" xfId="11"/>
    <cellStyle name="20% - Акцент4 4" xfId="12"/>
    <cellStyle name="20% - Акцент5 2" xfId="13"/>
    <cellStyle name="20% - Акцент5 3" xfId="14"/>
    <cellStyle name="20% - Акцент5 4" xfId="15"/>
    <cellStyle name="20% - Акцент6 2" xfId="16"/>
    <cellStyle name="20% - Акцент6 3" xfId="17"/>
    <cellStyle name="20% - Акцент6 4" xfId="18"/>
    <cellStyle name="40% - Accent1" xfId="456"/>
    <cellStyle name="40% - Accent1 2" xfId="457"/>
    <cellStyle name="40% - Accent2" xfId="458"/>
    <cellStyle name="40% - Accent2 2" xfId="459"/>
    <cellStyle name="40% - Accent3" xfId="460"/>
    <cellStyle name="40% - Accent3 2" xfId="461"/>
    <cellStyle name="40% - Accent4" xfId="462"/>
    <cellStyle name="40% - Accent4 2" xfId="463"/>
    <cellStyle name="40% - Accent5" xfId="464"/>
    <cellStyle name="40% - Accent5 2" xfId="465"/>
    <cellStyle name="40% - Accent6" xfId="466"/>
    <cellStyle name="40% - Accent6 2" xfId="467"/>
    <cellStyle name="40% - Акцент1 2" xfId="19"/>
    <cellStyle name="40% - Акцент1 3" xfId="20"/>
    <cellStyle name="40% - Акцент1 4" xfId="21"/>
    <cellStyle name="40% - Акцент2 2" xfId="22"/>
    <cellStyle name="40% - Акцент2 3" xfId="23"/>
    <cellStyle name="40% - Акцент2 4" xfId="24"/>
    <cellStyle name="40% - Акцент3 2" xfId="25"/>
    <cellStyle name="40% - Акцент3 3" xfId="26"/>
    <cellStyle name="40% - Акцент3 4" xfId="27"/>
    <cellStyle name="40% - Акцент4 2" xfId="28"/>
    <cellStyle name="40% - Акцент4 3" xfId="29"/>
    <cellStyle name="40% - Акцент4 4" xfId="30"/>
    <cellStyle name="40% - Акцент5 2" xfId="31"/>
    <cellStyle name="40% - Акцент5 3" xfId="32"/>
    <cellStyle name="40% - Акцент5 4" xfId="33"/>
    <cellStyle name="40% - Акцент6 2" xfId="34"/>
    <cellStyle name="40% - Акцент6 3" xfId="35"/>
    <cellStyle name="40% - Акцент6 4" xfId="36"/>
    <cellStyle name="60% - Accent1" xfId="468"/>
    <cellStyle name="60% - Accent2" xfId="469"/>
    <cellStyle name="60% - Accent3" xfId="470"/>
    <cellStyle name="60% - Accent4" xfId="471"/>
    <cellStyle name="60% - Accent5" xfId="472"/>
    <cellStyle name="60% - Accent6" xfId="473"/>
    <cellStyle name="Aaia?iue_laroux" xfId="474"/>
    <cellStyle name="Accent1" xfId="475"/>
    <cellStyle name="Accent2" xfId="476"/>
    <cellStyle name="Accent3" xfId="477"/>
    <cellStyle name="Accent4" xfId="478"/>
    <cellStyle name="Accent5" xfId="479"/>
    <cellStyle name="Accent6" xfId="480"/>
    <cellStyle name="Bad" xfId="481"/>
    <cellStyle name="Calc Currency (0)" xfId="482"/>
    <cellStyle name="Calc Currency (2)" xfId="483"/>
    <cellStyle name="Calc Percent (0)" xfId="484"/>
    <cellStyle name="Calc Percent (1)" xfId="485"/>
    <cellStyle name="Calc Percent (2)" xfId="486"/>
    <cellStyle name="Calc Units (0)" xfId="487"/>
    <cellStyle name="Calc Units (1)" xfId="488"/>
    <cellStyle name="Calc Units (2)" xfId="489"/>
    <cellStyle name="Calculation" xfId="490"/>
    <cellStyle name="Cell5" xfId="491"/>
    <cellStyle name="Check Cell" xfId="492"/>
    <cellStyle name="Comma [0]_#6 Temps &amp; Contractors" xfId="493"/>
    <cellStyle name="Comma [00]" xfId="494"/>
    <cellStyle name="Comma_#6 Temps &amp; Contractors" xfId="495"/>
    <cellStyle name="Currency [0]_#6 Temps &amp; Contractors" xfId="496"/>
    <cellStyle name="Currency [00]" xfId="497"/>
    <cellStyle name="Currency_#6 Temps &amp; Contractors" xfId="498"/>
    <cellStyle name="Date Short" xfId="499"/>
    <cellStyle name="DELTA" xfId="500"/>
    <cellStyle name="deutsch" xfId="501"/>
    <cellStyle name="Enter Currency (0)" xfId="502"/>
    <cellStyle name="Enter Currency (2)" xfId="503"/>
    <cellStyle name="Enter Units (0)" xfId="504"/>
    <cellStyle name="Enter Units (1)" xfId="505"/>
    <cellStyle name="Enter Units (2)" xfId="506"/>
    <cellStyle name="Euro" xfId="507"/>
    <cellStyle name="Excel Built-in Normal" xfId="668"/>
    <cellStyle name="Excel Built-in Normal 2" xfId="666"/>
    <cellStyle name="Explanatory Text" xfId="508"/>
    <cellStyle name="Flag" xfId="509"/>
    <cellStyle name="Good" xfId="510"/>
    <cellStyle name="Header1" xfId="511"/>
    <cellStyle name="Header2" xfId="512"/>
    <cellStyle name="Heading 1" xfId="513"/>
    <cellStyle name="Heading 2" xfId="514"/>
    <cellStyle name="Heading 3" xfId="515"/>
    <cellStyle name="Heading 4" xfId="516"/>
    <cellStyle name="Heading1" xfId="517"/>
    <cellStyle name="Heading2" xfId="518"/>
    <cellStyle name="Heading3" xfId="519"/>
    <cellStyle name="Heading4" xfId="520"/>
    <cellStyle name="Heading5" xfId="521"/>
    <cellStyle name="Heading6" xfId="522"/>
    <cellStyle name="Horizontal" xfId="523"/>
    <cellStyle name="Hyperlink" xfId="524"/>
    <cellStyle name="Iau?iue_23_1 " xfId="525"/>
    <cellStyle name="Input" xfId="526"/>
    <cellStyle name="Link Currency (0)" xfId="527"/>
    <cellStyle name="Link Currency (2)" xfId="528"/>
    <cellStyle name="Link Units (0)" xfId="529"/>
    <cellStyle name="Link Units (1)" xfId="530"/>
    <cellStyle name="Link Units (2)" xfId="531"/>
    <cellStyle name="Linked Cell" xfId="532"/>
    <cellStyle name="Matrix" xfId="533"/>
    <cellStyle name="Name2" xfId="534"/>
    <cellStyle name="Name4" xfId="535"/>
    <cellStyle name="Name5" xfId="536"/>
    <cellStyle name="Neutral" xfId="537"/>
    <cellStyle name="Normal" xfId="665"/>
    <cellStyle name="Normal 2" xfId="538"/>
    <cellStyle name="Normal 3" xfId="683"/>
    <cellStyle name="Normal_# 41-Market &amp;Trends" xfId="539"/>
    <cellStyle name="normбlnм_laroux" xfId="540"/>
    <cellStyle name="Note" xfId="541"/>
    <cellStyle name="Oeiainiaue [0]_laroux" xfId="542"/>
    <cellStyle name="Oeiainiaue_laroux" xfId="543"/>
    <cellStyle name="Option" xfId="544"/>
    <cellStyle name="OptionHeading" xfId="545"/>
    <cellStyle name="Output" xfId="546"/>
    <cellStyle name="Percent [0]" xfId="547"/>
    <cellStyle name="Percent [00]" xfId="548"/>
    <cellStyle name="Percent_#6 Temps &amp; Contractors" xfId="549"/>
    <cellStyle name="PrePop Currency (0)" xfId="550"/>
    <cellStyle name="PrePop Currency (2)" xfId="551"/>
    <cellStyle name="PrePop Units (0)" xfId="552"/>
    <cellStyle name="PrePop Units (1)" xfId="553"/>
    <cellStyle name="PrePop Units (2)" xfId="554"/>
    <cellStyle name="Price" xfId="555"/>
    <cellStyle name="S13" xfId="556"/>
    <cellStyle name="S14" xfId="557"/>
    <cellStyle name="S4" xfId="558"/>
    <cellStyle name="Text Indent A" xfId="559"/>
    <cellStyle name="Text Indent B" xfId="560"/>
    <cellStyle name="Text Indent C" xfId="561"/>
    <cellStyle name="Title" xfId="562"/>
    <cellStyle name="Total" xfId="563"/>
    <cellStyle name="Unit" xfId="564"/>
    <cellStyle name="Vertical" xfId="565"/>
    <cellStyle name="Warning Text" xfId="566"/>
    <cellStyle name="Виталий" xfId="567"/>
    <cellStyle name="Денежный [0] 2" xfId="568"/>
    <cellStyle name="Обычный" xfId="0" builtinId="0"/>
    <cellStyle name="Обычный 10" xfId="66"/>
    <cellStyle name="Обычный 10 2" xfId="37"/>
    <cellStyle name="Обычный 10 3" xfId="677"/>
    <cellStyle name="Обычный 11" xfId="569"/>
    <cellStyle name="Обычный 12" xfId="570"/>
    <cellStyle name="Обычный 12 2" xfId="38"/>
    <cellStyle name="Обычный 12 3" xfId="39"/>
    <cellStyle name="Обычный 13" xfId="571"/>
    <cellStyle name="Обычный 14" xfId="572"/>
    <cellStyle name="Обычный 15" xfId="573"/>
    <cellStyle name="Обычный 16" xfId="574"/>
    <cellStyle name="Обычный 17" xfId="575"/>
    <cellStyle name="Обычный 18" xfId="576"/>
    <cellStyle name="Обычный 19" xfId="577"/>
    <cellStyle name="Обычный 2" xfId="40"/>
    <cellStyle name="Обычный 2 2" xfId="41"/>
    <cellStyle name="Обычный 2 2 2" xfId="64"/>
    <cellStyle name="Обычный 2 2 2 2" xfId="669"/>
    <cellStyle name="Обычный 2 2 3" xfId="70"/>
    <cellStyle name="Обычный 2 3" xfId="42"/>
    <cellStyle name="Обычный 2 3 2" xfId="664"/>
    <cellStyle name="Обычный 2 4" xfId="43"/>
    <cellStyle name="Обычный 2 5" xfId="67"/>
    <cellStyle name="Обычный 2_010 по напавлениям" xfId="68"/>
    <cellStyle name="Обычный 20" xfId="578"/>
    <cellStyle name="Обычный 21" xfId="579"/>
    <cellStyle name="Обычный 22" xfId="44"/>
    <cellStyle name="Обычный 23" xfId="580"/>
    <cellStyle name="Обычный 24" xfId="45"/>
    <cellStyle name="Обычный 25" xfId="581"/>
    <cellStyle name="Обычный 256" xfId="46"/>
    <cellStyle name="Обычный 26" xfId="582"/>
    <cellStyle name="Обычный 27" xfId="583"/>
    <cellStyle name="Обычный 28" xfId="584"/>
    <cellStyle name="Обычный 29" xfId="585"/>
    <cellStyle name="Обычный 3" xfId="47"/>
    <cellStyle name="Обычный 3 2" xfId="48"/>
    <cellStyle name="Обычный 3 2 2" xfId="680"/>
    <cellStyle name="Обычный 3 3" xfId="49"/>
    <cellStyle name="Обычный 30" xfId="586"/>
    <cellStyle name="Обычный 31" xfId="587"/>
    <cellStyle name="Обычный 32" xfId="662"/>
    <cellStyle name="Обычный 33" xfId="588"/>
    <cellStyle name="Обычный 34" xfId="667"/>
    <cellStyle name="Обычный 34 2" xfId="676"/>
    <cellStyle name="Обычный 35" xfId="672"/>
    <cellStyle name="Обычный 36" xfId="674"/>
    <cellStyle name="Обычный 4" xfId="50"/>
    <cellStyle name="Обычный 4 2" xfId="678"/>
    <cellStyle name="Обычный 5" xfId="63"/>
    <cellStyle name="Обычный 5 2" xfId="681"/>
    <cellStyle name="Обычный 6" xfId="65"/>
    <cellStyle name="Обычный 7" xfId="51"/>
    <cellStyle name="Обычный 8" xfId="52"/>
    <cellStyle name="Обычный 9" xfId="53"/>
    <cellStyle name="Обычный_Прилож. к форме №2 2" xfId="671"/>
    <cellStyle name="Обычный_тариф Офу-11" xfId="670"/>
    <cellStyle name="Примечание 2" xfId="54"/>
    <cellStyle name="Примечание 3" xfId="55"/>
    <cellStyle name="Примечание 4" xfId="56"/>
    <cellStyle name="Процентный" xfId="57" builtinId="5"/>
    <cellStyle name="Процентный 2" xfId="589"/>
    <cellStyle name="Стиль 1" xfId="590"/>
    <cellStyle name="Стиль 1 2" xfId="591"/>
    <cellStyle name="Стиль 1 21" xfId="69"/>
    <cellStyle name="Тысячи [0]_96111" xfId="592"/>
    <cellStyle name="Тысячи_96111" xfId="593"/>
    <cellStyle name="Үђғһ‹һ‚һљ1" xfId="594"/>
    <cellStyle name="Үђғһ‹һ‚һљ1 10" xfId="595"/>
    <cellStyle name="Үђғһ‹һ‚һљ1 11" xfId="596"/>
    <cellStyle name="Үђғһ‹һ‚һљ1 12" xfId="597"/>
    <cellStyle name="Үђғһ‹һ‚һљ1 13" xfId="598"/>
    <cellStyle name="Үђғһ‹һ‚һљ1 14" xfId="599"/>
    <cellStyle name="Үђғһ‹һ‚һљ1 15" xfId="600"/>
    <cellStyle name="Үђғһ‹һ‚һљ1 2" xfId="601"/>
    <cellStyle name="Үђғһ‹һ‚һљ1 3" xfId="602"/>
    <cellStyle name="Үђғһ‹һ‚һљ1 4" xfId="603"/>
    <cellStyle name="Үђғһ‹һ‚һљ1 5" xfId="604"/>
    <cellStyle name="Үђғһ‹һ‚һљ1 6" xfId="605"/>
    <cellStyle name="Үђғһ‹һ‚һљ1 7" xfId="606"/>
    <cellStyle name="Үђғһ‹һ‚һљ1 8" xfId="607"/>
    <cellStyle name="Үђғһ‹һ‚һљ1 9" xfId="608"/>
    <cellStyle name="Үђғһ‹һ‚һљ2" xfId="609"/>
    <cellStyle name="Үђғһ‹һ‚һљ2 10" xfId="610"/>
    <cellStyle name="Үђғһ‹һ‚һљ2 11" xfId="611"/>
    <cellStyle name="Үђғһ‹һ‚һљ2 12" xfId="612"/>
    <cellStyle name="Үђғһ‹һ‚һљ2 13" xfId="613"/>
    <cellStyle name="Үђғһ‹һ‚һљ2 14" xfId="614"/>
    <cellStyle name="Үђғһ‹һ‚һљ2 15" xfId="615"/>
    <cellStyle name="Үђғһ‹һ‚һљ2 2" xfId="616"/>
    <cellStyle name="Үђғһ‹һ‚һљ2 3" xfId="617"/>
    <cellStyle name="Үђғһ‹һ‚һљ2 4" xfId="618"/>
    <cellStyle name="Үђғһ‹һ‚һљ2 5" xfId="619"/>
    <cellStyle name="Үђғһ‹һ‚һљ2 6" xfId="620"/>
    <cellStyle name="Үђғһ‹һ‚һљ2 7" xfId="621"/>
    <cellStyle name="Үђғһ‹һ‚һљ2 8" xfId="622"/>
    <cellStyle name="Үђғһ‹һ‚һљ2 9" xfId="623"/>
    <cellStyle name="Финансовый" xfId="58" builtinId="3"/>
    <cellStyle name="Финансовый 10" xfId="624"/>
    <cellStyle name="Финансовый 2" xfId="59"/>
    <cellStyle name="Финансовый 2 2" xfId="625"/>
    <cellStyle name="Финансовый 2 3" xfId="626"/>
    <cellStyle name="Финансовый 2 4" xfId="679"/>
    <cellStyle name="Финансовый 2 5" xfId="682"/>
    <cellStyle name="Финансовый 3" xfId="60"/>
    <cellStyle name="Финансовый 3 2" xfId="627"/>
    <cellStyle name="Финансовый 3 3" xfId="628"/>
    <cellStyle name="Финансовый 3 4" xfId="675"/>
    <cellStyle name="Финансовый 4" xfId="61"/>
    <cellStyle name="Финансовый 4 2" xfId="629"/>
    <cellStyle name="Финансовый 5" xfId="673"/>
    <cellStyle name="Финансовый 5 2" xfId="62"/>
    <cellStyle name="Финансовый 5 2 2" xfId="663"/>
    <cellStyle name="Финансовый 6" xfId="630"/>
    <cellStyle name="Финансовый 6 2" xfId="631"/>
    <cellStyle name="Џђһ–…қ’қ›ү" xfId="647"/>
    <cellStyle name="Џђһ–…қ’қ›ү 10" xfId="648"/>
    <cellStyle name="Џђһ–…қ’қ›ү 11" xfId="649"/>
    <cellStyle name="Џђһ–…қ’қ›ү 12" xfId="650"/>
    <cellStyle name="Џђһ–…қ’қ›ү 13" xfId="651"/>
    <cellStyle name="Џђһ–…қ’қ›ү 14" xfId="652"/>
    <cellStyle name="Џђһ–…қ’қ›ү 15" xfId="653"/>
    <cellStyle name="Џђһ–…қ’қ›ү 2" xfId="654"/>
    <cellStyle name="Џђһ–…қ’қ›ү 3" xfId="655"/>
    <cellStyle name="Џђһ–…қ’қ›ү 4" xfId="656"/>
    <cellStyle name="Џђһ–…қ’қ›ү 5" xfId="657"/>
    <cellStyle name="Џђһ–…қ’қ›ү 6" xfId="658"/>
    <cellStyle name="Џђһ–…қ’қ›ү 7" xfId="659"/>
    <cellStyle name="Џђһ–…қ’қ›ү 8" xfId="660"/>
    <cellStyle name="Џђһ–…қ’қ›ү 9" xfId="661"/>
    <cellStyle name="Џђћ–…ќ’ќ›‰" xfId="632"/>
    <cellStyle name="Џђћ–…ќ’ќ›‰ 10" xfId="633"/>
    <cellStyle name="Џђћ–…ќ’ќ›‰ 11" xfId="634"/>
    <cellStyle name="Џђћ–…ќ’ќ›‰ 12" xfId="635"/>
    <cellStyle name="Џђћ–…ќ’ќ›‰ 13" xfId="636"/>
    <cellStyle name="Џђћ–…ќ’ќ›‰ 14" xfId="637"/>
    <cellStyle name="Џђћ–…ќ’ќ›‰ 15" xfId="638"/>
    <cellStyle name="Џђћ–…ќ’ќ›‰ 2" xfId="639"/>
    <cellStyle name="Џђћ–…ќ’ќ›‰ 3" xfId="640"/>
    <cellStyle name="Џђћ–…ќ’ќ›‰ 4" xfId="641"/>
    <cellStyle name="Џђћ–…ќ’ќ›‰ 5" xfId="642"/>
    <cellStyle name="Џђћ–…ќ’ќ›‰ 6" xfId="643"/>
    <cellStyle name="Џђћ–…ќ’ќ›‰ 7" xfId="644"/>
    <cellStyle name="Џђћ–…ќ’ќ›‰ 8" xfId="645"/>
    <cellStyle name="Џђћ–…ќ’ќ›‰ 9" xfId="6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31750</xdr:colOff>
      <xdr:row>3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38100" y="38100"/>
          <a:ext cx="7756525" cy="3136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3550285</xdr:colOff>
      <xdr:row>1</xdr:row>
      <xdr:rowOff>128905</xdr:rowOff>
    </xdr:from>
    <xdr:to>
      <xdr:col>1</xdr:col>
      <xdr:colOff>5252310</xdr:colOff>
      <xdr:row>2</xdr:row>
      <xdr:rowOff>52794</xdr:rowOff>
    </xdr:to>
    <xdr:sp macro="" textlink="">
      <xdr:nvSpPr>
        <xdr:cNvPr id="2" name="Прямоугольник 1"/>
        <xdr:cNvSpPr/>
      </xdr:nvSpPr>
      <xdr:spPr>
        <a:xfrm>
          <a:off x="4931410" y="367030"/>
          <a:ext cx="1702025" cy="19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>
              <a:solidFill>
                <a:sysClr val="windowText" lastClr="000000"/>
              </a:solidFill>
            </a:rPr>
            <a:t>Доходы</a:t>
          </a:r>
          <a:r>
            <a:rPr lang="ru-RU" sz="1200" baseline="0">
              <a:solidFill>
                <a:sysClr val="windowText" lastClr="000000"/>
              </a:solidFill>
            </a:rPr>
            <a:t> схем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775335</xdr:colOff>
      <xdr:row>2</xdr:row>
      <xdr:rowOff>1639570</xdr:rowOff>
    </xdr:from>
    <xdr:to>
      <xdr:col>1</xdr:col>
      <xdr:colOff>1373284</xdr:colOff>
      <xdr:row>2</xdr:row>
      <xdr:rowOff>2223306</xdr:rowOff>
    </xdr:to>
    <xdr:sp macro="" textlink="">
      <xdr:nvSpPr>
        <xdr:cNvPr id="4" name="Прямоугольник 3"/>
        <xdr:cNvSpPr/>
      </xdr:nvSpPr>
      <xdr:spPr>
        <a:xfrm>
          <a:off x="775335" y="2147570"/>
          <a:ext cx="1979074" cy="5837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49530</xdr:rowOff>
    </xdr:from>
    <xdr:to>
      <xdr:col>1</xdr:col>
      <xdr:colOff>6295876</xdr:colOff>
      <xdr:row>3</xdr:row>
      <xdr:rowOff>7650</xdr:rowOff>
    </xdr:to>
    <xdr:cxnSp macro="">
      <xdr:nvCxnSpPr>
        <xdr:cNvPr id="3" name="Прямая соединительная линия 2"/>
        <xdr:cNvCxnSpPr/>
      </xdr:nvCxnSpPr>
      <xdr:spPr>
        <a:xfrm>
          <a:off x="38100" y="57150"/>
          <a:ext cx="7867650" cy="3448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3703320</xdr:colOff>
      <xdr:row>0</xdr:row>
      <xdr:rowOff>582930</xdr:rowOff>
    </xdr:from>
    <xdr:to>
      <xdr:col>1</xdr:col>
      <xdr:colOff>5671091</xdr:colOff>
      <xdr:row>1</xdr:row>
      <xdr:rowOff>202228</xdr:rowOff>
    </xdr:to>
    <xdr:sp macro="" textlink="">
      <xdr:nvSpPr>
        <xdr:cNvPr id="4" name="Прямоугольник 3"/>
        <xdr:cNvSpPr/>
      </xdr:nvSpPr>
      <xdr:spPr>
        <a:xfrm>
          <a:off x="5276850" y="590550"/>
          <a:ext cx="198120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438150</xdr:colOff>
      <xdr:row>2</xdr:row>
      <xdr:rowOff>1638300</xdr:rowOff>
    </xdr:from>
    <xdr:to>
      <xdr:col>1</xdr:col>
      <xdr:colOff>432503</xdr:colOff>
      <xdr:row>2</xdr:row>
      <xdr:rowOff>2015744</xdr:rowOff>
    </xdr:to>
    <xdr:sp macro="" textlink="">
      <xdr:nvSpPr>
        <xdr:cNvPr id="5" name="Прямоугольник 4"/>
        <xdr:cNvSpPr/>
      </xdr:nvSpPr>
      <xdr:spPr>
        <a:xfrm>
          <a:off x="438150" y="2762250"/>
          <a:ext cx="16002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49530</xdr:rowOff>
    </xdr:from>
    <xdr:to>
      <xdr:col>2</xdr:col>
      <xdr:colOff>714</xdr:colOff>
      <xdr:row>3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76200" y="57150"/>
          <a:ext cx="5638800" cy="255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3208972</xdr:colOff>
      <xdr:row>1</xdr:row>
      <xdr:rowOff>63500</xdr:rowOff>
    </xdr:from>
    <xdr:to>
      <xdr:col>1</xdr:col>
      <xdr:colOff>5220844</xdr:colOff>
      <xdr:row>1</xdr:row>
      <xdr:rowOff>476250</xdr:rowOff>
    </xdr:to>
    <xdr:sp macro="" textlink="">
      <xdr:nvSpPr>
        <xdr:cNvPr id="3" name="Прямоугольник 2"/>
        <xdr:cNvSpPr/>
      </xdr:nvSpPr>
      <xdr:spPr>
        <a:xfrm>
          <a:off x="4590097" y="301625"/>
          <a:ext cx="2011872" cy="412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289560</xdr:colOff>
      <xdr:row>2</xdr:row>
      <xdr:rowOff>752475</xdr:rowOff>
    </xdr:from>
    <xdr:to>
      <xdr:col>1</xdr:col>
      <xdr:colOff>469875</xdr:colOff>
      <xdr:row>2</xdr:row>
      <xdr:rowOff>1104326</xdr:rowOff>
    </xdr:to>
    <xdr:sp macro="" textlink="">
      <xdr:nvSpPr>
        <xdr:cNvPr id="4" name="Прямоугольник 3"/>
        <xdr:cNvSpPr/>
      </xdr:nvSpPr>
      <xdr:spPr>
        <a:xfrm>
          <a:off x="285750" y="1619250"/>
          <a:ext cx="1333500" cy="333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</xdr:rowOff>
    </xdr:from>
    <xdr:to>
      <xdr:col>2</xdr:col>
      <xdr:colOff>0</xdr:colOff>
      <xdr:row>2</xdr:row>
      <xdr:rowOff>0</xdr:rowOff>
    </xdr:to>
    <xdr:cxnSp macro="">
      <xdr:nvCxnSpPr>
        <xdr:cNvPr id="3" name="Прямая соединительная линия 2"/>
        <xdr:cNvCxnSpPr/>
      </xdr:nvCxnSpPr>
      <xdr:spPr>
        <a:xfrm>
          <a:off x="38100" y="11430"/>
          <a:ext cx="7724775" cy="34651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1</xdr:row>
      <xdr:rowOff>1878330</xdr:rowOff>
    </xdr:from>
    <xdr:to>
      <xdr:col>1</xdr:col>
      <xdr:colOff>1187495</xdr:colOff>
      <xdr:row>1</xdr:row>
      <xdr:rowOff>2324167</xdr:rowOff>
    </xdr:to>
    <xdr:sp macro="" textlink="">
      <xdr:nvSpPr>
        <xdr:cNvPr id="4" name="Прямоугольник 3"/>
        <xdr:cNvSpPr/>
      </xdr:nvSpPr>
      <xdr:spPr>
        <a:xfrm>
          <a:off x="323850" y="2133600"/>
          <a:ext cx="2000250" cy="438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2099310</xdr:colOff>
      <xdr:row>1</xdr:row>
      <xdr:rowOff>28575</xdr:rowOff>
    </xdr:from>
    <xdr:to>
      <xdr:col>1</xdr:col>
      <xdr:colOff>3699859</xdr:colOff>
      <xdr:row>1</xdr:row>
      <xdr:rowOff>370205</xdr:rowOff>
    </xdr:to>
    <xdr:sp macro="" textlink="">
      <xdr:nvSpPr>
        <xdr:cNvPr id="5" name="Прямоугольник 4"/>
        <xdr:cNvSpPr/>
      </xdr:nvSpPr>
      <xdr:spPr>
        <a:xfrm>
          <a:off x="3257550" y="285750"/>
          <a:ext cx="160020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31750</xdr:colOff>
      <xdr:row>3</xdr:row>
      <xdr:rowOff>0</xdr:rowOff>
    </xdr:to>
    <xdr:cxnSp macro="">
      <xdr:nvCxnSpPr>
        <xdr:cNvPr id="2" name="Прямая соединительная линия 1"/>
        <xdr:cNvCxnSpPr/>
      </xdr:nvCxnSpPr>
      <xdr:spPr>
        <a:xfrm>
          <a:off x="38100" y="38100"/>
          <a:ext cx="7756525" cy="2867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3550285</xdr:colOff>
      <xdr:row>1</xdr:row>
      <xdr:rowOff>128905</xdr:rowOff>
    </xdr:from>
    <xdr:to>
      <xdr:col>1</xdr:col>
      <xdr:colOff>5252310</xdr:colOff>
      <xdr:row>2</xdr:row>
      <xdr:rowOff>52794</xdr:rowOff>
    </xdr:to>
    <xdr:sp macro="" textlink="">
      <xdr:nvSpPr>
        <xdr:cNvPr id="3" name="Прямоугольник 2"/>
        <xdr:cNvSpPr/>
      </xdr:nvSpPr>
      <xdr:spPr>
        <a:xfrm>
          <a:off x="4931410" y="367030"/>
          <a:ext cx="1702025" cy="1905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>
              <a:solidFill>
                <a:sysClr val="windowText" lastClr="000000"/>
              </a:solidFill>
            </a:rPr>
            <a:t>Доходы</a:t>
          </a:r>
          <a:r>
            <a:rPr lang="ru-RU" sz="1200" baseline="0">
              <a:solidFill>
                <a:sysClr val="windowText" lastClr="000000"/>
              </a:solidFill>
            </a:rPr>
            <a:t> схем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775335</xdr:colOff>
      <xdr:row>2</xdr:row>
      <xdr:rowOff>1639570</xdr:rowOff>
    </xdr:from>
    <xdr:to>
      <xdr:col>1</xdr:col>
      <xdr:colOff>1373284</xdr:colOff>
      <xdr:row>2</xdr:row>
      <xdr:rowOff>2223306</xdr:rowOff>
    </xdr:to>
    <xdr:sp macro="" textlink="">
      <xdr:nvSpPr>
        <xdr:cNvPr id="4" name="Прямоугольник 3"/>
        <xdr:cNvSpPr/>
      </xdr:nvSpPr>
      <xdr:spPr>
        <a:xfrm>
          <a:off x="775335" y="2144395"/>
          <a:ext cx="1979074" cy="5837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49530</xdr:rowOff>
    </xdr:from>
    <xdr:to>
      <xdr:col>2</xdr:col>
      <xdr:colOff>714</xdr:colOff>
      <xdr:row>3</xdr:row>
      <xdr:rowOff>0</xdr:rowOff>
    </xdr:to>
    <xdr:cxnSp macro="">
      <xdr:nvCxnSpPr>
        <xdr:cNvPr id="2" name="Прямая соединительная линия 1"/>
        <xdr:cNvCxnSpPr/>
      </xdr:nvCxnSpPr>
      <xdr:spPr>
        <a:xfrm>
          <a:off x="76200" y="49530"/>
          <a:ext cx="7687389" cy="285559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3208972</xdr:colOff>
      <xdr:row>1</xdr:row>
      <xdr:rowOff>63500</xdr:rowOff>
    </xdr:from>
    <xdr:to>
      <xdr:col>1</xdr:col>
      <xdr:colOff>5220844</xdr:colOff>
      <xdr:row>1</xdr:row>
      <xdr:rowOff>476250</xdr:rowOff>
    </xdr:to>
    <xdr:sp macro="" textlink="">
      <xdr:nvSpPr>
        <xdr:cNvPr id="3" name="Прямоугольник 2"/>
        <xdr:cNvSpPr/>
      </xdr:nvSpPr>
      <xdr:spPr>
        <a:xfrm>
          <a:off x="4590097" y="301625"/>
          <a:ext cx="2011872" cy="203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289560</xdr:colOff>
      <xdr:row>2</xdr:row>
      <xdr:rowOff>752475</xdr:rowOff>
    </xdr:from>
    <xdr:to>
      <xdr:col>1</xdr:col>
      <xdr:colOff>469875</xdr:colOff>
      <xdr:row>2</xdr:row>
      <xdr:rowOff>1104326</xdr:rowOff>
    </xdr:to>
    <xdr:sp macro="" textlink="">
      <xdr:nvSpPr>
        <xdr:cNvPr id="4" name="Прямоугольник 3"/>
        <xdr:cNvSpPr/>
      </xdr:nvSpPr>
      <xdr:spPr>
        <a:xfrm>
          <a:off x="289560" y="1257300"/>
          <a:ext cx="1561440" cy="3518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49530</xdr:rowOff>
    </xdr:from>
    <xdr:to>
      <xdr:col>1</xdr:col>
      <xdr:colOff>6295876</xdr:colOff>
      <xdr:row>3</xdr:row>
      <xdr:rowOff>7650</xdr:rowOff>
    </xdr:to>
    <xdr:cxnSp macro="">
      <xdr:nvCxnSpPr>
        <xdr:cNvPr id="2" name="Прямая соединительная линия 1"/>
        <xdr:cNvCxnSpPr/>
      </xdr:nvCxnSpPr>
      <xdr:spPr>
        <a:xfrm>
          <a:off x="38100" y="49530"/>
          <a:ext cx="7638901" cy="34061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3703320</xdr:colOff>
      <xdr:row>0</xdr:row>
      <xdr:rowOff>582930</xdr:rowOff>
    </xdr:from>
    <xdr:to>
      <xdr:col>1</xdr:col>
      <xdr:colOff>5671091</xdr:colOff>
      <xdr:row>1</xdr:row>
      <xdr:rowOff>202228</xdr:rowOff>
    </xdr:to>
    <xdr:sp macro="" textlink="">
      <xdr:nvSpPr>
        <xdr:cNvPr id="3" name="Прямоугольник 2"/>
        <xdr:cNvSpPr/>
      </xdr:nvSpPr>
      <xdr:spPr>
        <a:xfrm>
          <a:off x="5084445" y="240030"/>
          <a:ext cx="1967771" cy="2003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Схемы финансирования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438150</xdr:colOff>
      <xdr:row>2</xdr:row>
      <xdr:rowOff>1638300</xdr:rowOff>
    </xdr:from>
    <xdr:to>
      <xdr:col>1</xdr:col>
      <xdr:colOff>432503</xdr:colOff>
      <xdr:row>2</xdr:row>
      <xdr:rowOff>2015744</xdr:rowOff>
    </xdr:to>
    <xdr:sp macro="" textlink="">
      <xdr:nvSpPr>
        <xdr:cNvPr id="4" name="Прямоугольник 3"/>
        <xdr:cNvSpPr/>
      </xdr:nvSpPr>
      <xdr:spPr>
        <a:xfrm>
          <a:off x="438150" y="2152650"/>
          <a:ext cx="1375478" cy="3774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11430</xdr:rowOff>
    </xdr:from>
    <xdr:to>
      <xdr:col>2</xdr:col>
      <xdr:colOff>0</xdr:colOff>
      <xdr:row>2</xdr:row>
      <xdr:rowOff>0</xdr:rowOff>
    </xdr:to>
    <xdr:cxnSp macro="">
      <xdr:nvCxnSpPr>
        <xdr:cNvPr id="2" name="Прямая соединительная линия 1"/>
        <xdr:cNvCxnSpPr/>
      </xdr:nvCxnSpPr>
      <xdr:spPr>
        <a:xfrm>
          <a:off x="38100" y="11430"/>
          <a:ext cx="7724775" cy="345567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1</xdr:row>
      <xdr:rowOff>1878330</xdr:rowOff>
    </xdr:from>
    <xdr:to>
      <xdr:col>1</xdr:col>
      <xdr:colOff>1187495</xdr:colOff>
      <xdr:row>1</xdr:row>
      <xdr:rowOff>2324167</xdr:rowOff>
    </xdr:to>
    <xdr:sp macro="" textlink="">
      <xdr:nvSpPr>
        <xdr:cNvPr id="3" name="Прямоугольник 2"/>
        <xdr:cNvSpPr/>
      </xdr:nvSpPr>
      <xdr:spPr>
        <a:xfrm>
          <a:off x="327660" y="2145030"/>
          <a:ext cx="2240960" cy="4458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Функции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2099310</xdr:colOff>
      <xdr:row>1</xdr:row>
      <xdr:rowOff>28575</xdr:rowOff>
    </xdr:from>
    <xdr:to>
      <xdr:col>1</xdr:col>
      <xdr:colOff>3699859</xdr:colOff>
      <xdr:row>1</xdr:row>
      <xdr:rowOff>370205</xdr:rowOff>
    </xdr:to>
    <xdr:sp macro="" textlink="">
      <xdr:nvSpPr>
        <xdr:cNvPr id="4" name="Прямоугольник 3"/>
        <xdr:cNvSpPr/>
      </xdr:nvSpPr>
      <xdr:spPr>
        <a:xfrm>
          <a:off x="3480435" y="295275"/>
          <a:ext cx="1600549" cy="341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200" baseline="0">
              <a:solidFill>
                <a:sysClr val="windowText" lastClr="000000"/>
              </a:solidFill>
            </a:rPr>
            <a:t>Поставщики</a:t>
          </a:r>
          <a:endParaRPr lang="tr-TR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/GOOGLE%20DRIVE%20SYNC/Work/&#1052;&#1047;/2.%20&#1053;&#1057;&#1047;/2016/2014-T16-KA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\Admin\Desktop\&#1082;&#1086;&#1084;&#1091;&#1096;&#1085;&#1099;&#1077;%20&#1076;&#1072;&#1085;&#1085;&#1099;&#1077;%20&#1086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irabekova_a/Downloads/&#1053;&#1057;&#1047;%202016%20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&#1094;&#1101;&#1080;\Users\User\Desktop\&#1088;&#1072;&#1089;&#1096;&#1080;&#1092;&#1088;&#1086;&#1074;&#1082;&#1072;%20039011%20(&#1087;&#1086;%20&#1074;&#1080;&#1076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мола"/>
      <sheetName val="актобе"/>
      <sheetName val="алм обл"/>
      <sheetName val="атыр"/>
      <sheetName val="вко"/>
      <sheetName val="алм"/>
      <sheetName val="аст"/>
      <sheetName val="жамбыл"/>
      <sheetName val="зко"/>
      <sheetName val="караганда"/>
      <sheetName val="кост"/>
      <sheetName val="кзо"/>
      <sheetName val="манг"/>
      <sheetName val="павл"/>
      <sheetName val="ско"/>
      <sheetName val="юко"/>
      <sheetName val="всего лзинг"/>
      <sheetName val="всего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>
            <v>1398796.3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HF"/>
      <sheetName val="HF-HP"/>
      <sheetName val="HF-HC"/>
      <sheetName val="HC-HP"/>
      <sheetName val="РБ 2015"/>
      <sheetName val="Мб 2015"/>
      <sheetName val="ДФ 2016"/>
      <sheetName val="ДФ 2015"/>
      <sheetName val="009 2016"/>
      <sheetName val="009 2015"/>
      <sheetName val="039 2015"/>
      <sheetName val="039 2016"/>
      <sheetName val="ДХ 2015"/>
      <sheetName val="2"/>
      <sheetName val="НБ выпл."/>
      <sheetName val="НБ прем."/>
      <sheetName val="предпр 2015"/>
      <sheetName val="ГБ 2015"/>
      <sheetName val="ГБ 2016"/>
      <sheetName val="КОМУ 2015"/>
      <sheetName val="КОМУ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G193">
            <v>14696963.590399999</v>
          </cell>
        </row>
        <row r="205">
          <cell r="G205">
            <v>1009179.49985</v>
          </cell>
        </row>
      </sheetData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 039 2016 (2)"/>
      <sheetName val="расш все2015"/>
      <sheetName val="ЮКО"/>
      <sheetName val="расшиф 039 2017"/>
      <sheetName val="расш все2016"/>
      <sheetName val="анализ2016"/>
      <sheetName val="расшиф 039 2014"/>
      <sheetName val="анализ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24372346.337379869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CRS1&amp;Coords=%5bDONOR%5d.%5b915%5d&amp;ShowOnWeb=true&amp;Lang=en" TargetMode="External"/><Relationship Id="rId13" Type="http://schemas.openxmlformats.org/officeDocument/2006/relationships/hyperlink" Target="http://stats.oecd.org/OECDStat_Metadata/ShowMetadata.ashx?Dataset=CRS1&amp;Coords=%5bDONOR%5d.%5b959%5d&amp;ShowOnWeb=true&amp;Lang=en" TargetMode="External"/><Relationship Id="rId18" Type="http://schemas.openxmlformats.org/officeDocument/2006/relationships/hyperlink" Target="http://stats.oecd.org/OECDStat_Metadata/ShowMetadata.ashx?Dataset=CRS1&amp;Coords=%5bDONOR%5d.%5b963%5d&amp;ShowOnWeb=true&amp;Lang=en" TargetMode="External"/><Relationship Id="rId26" Type="http://schemas.openxmlformats.org/officeDocument/2006/relationships/hyperlink" Target="http://stats.oecd.org/OECDStat_Metadata/ShowMetadata.ashx?Dataset=CRS1&amp;Coords=%5bDONOR%5d.%5b1311%5d&amp;ShowOnWeb=true&amp;Lang=en" TargetMode="External"/><Relationship Id="rId3" Type="http://schemas.openxmlformats.org/officeDocument/2006/relationships/hyperlink" Target="http://stats.oecd.org/OECDStat_Metadata/ShowMetadata.ashx?Dataset=CRS1&amp;Coords=%5bFLOWTYPE%5d.%5b115%5d&amp;ShowOnWeb=true&amp;Lang=en" TargetMode="External"/><Relationship Id="rId21" Type="http://schemas.openxmlformats.org/officeDocument/2006/relationships/hyperlink" Target="http://stats.oecd.org/OECDStat_Metadata/ShowMetadata.ashx?Dataset=CRS1&amp;Coords=%5bDONOR%5d.%5b901%5d&amp;ShowOnWeb=true&amp;Lang=en" TargetMode="External"/><Relationship Id="rId34" Type="http://schemas.openxmlformats.org/officeDocument/2006/relationships/hyperlink" Target="http://stats.oecd.org/OECDStat_Metadata/ShowMetadata.ashx?Dataset=CRS1&amp;Coords=%5bDONOR%5d.%5b566%5d&amp;ShowOnWeb=true&amp;Lang=en" TargetMode="External"/><Relationship Id="rId7" Type="http://schemas.openxmlformats.org/officeDocument/2006/relationships/hyperlink" Target="http://stats.oecd.org/OECDStat_Metadata/ShowMetadata.ashx?Dataset=CRS1&amp;Coords=%5bDONOR%5d.%5b914%5d&amp;ShowOnWeb=true&amp;Lang=en" TargetMode="External"/><Relationship Id="rId12" Type="http://schemas.openxmlformats.org/officeDocument/2006/relationships/hyperlink" Target="http://stats.oecd.org/OECDStat_Metadata/ShowMetadata.ashx?Dataset=CRS1&amp;Coords=%5bDONOR%5d.%5b971%5d&amp;ShowOnWeb=true&amp;Lang=en" TargetMode="External"/><Relationship Id="rId17" Type="http://schemas.openxmlformats.org/officeDocument/2006/relationships/hyperlink" Target="http://stats.oecd.org/OECDStat_Metadata/ShowMetadata.ashx?Dataset=CRS1&amp;Coords=%5bDONOR%5d.%5b967%5d&amp;ShowOnWeb=true&amp;Lang=en" TargetMode="External"/><Relationship Id="rId25" Type="http://schemas.openxmlformats.org/officeDocument/2006/relationships/hyperlink" Target="http://stats.oecd.org/OECDStat_Metadata/ShowMetadata.ashx?Dataset=CRS1&amp;Coords=%5bDONOR%5d.%5b1011%5d&amp;ShowOnWeb=true&amp;Lang=en" TargetMode="External"/><Relationship Id="rId33" Type="http://schemas.openxmlformats.org/officeDocument/2006/relationships/hyperlink" Target="http://stats.oecd.org/OECDStat_Metadata/ShowMetadata.ashx?Dataset=CRS1&amp;Coords=%5bDONOR%5d.%5b87%5d&amp;ShowOnWeb=true&amp;Lang=en" TargetMode="External"/><Relationship Id="rId2" Type="http://schemas.openxmlformats.org/officeDocument/2006/relationships/hyperlink" Target="http://stats.oecd.org/OECDStat_Metadata/ShowMetadata.ashx?Dataset=CRS1&amp;Coords=%5bFLOW%5d.%5b100%5d&amp;ShowOnWeb=true&amp;Lang=en" TargetMode="External"/><Relationship Id="rId16" Type="http://schemas.openxmlformats.org/officeDocument/2006/relationships/hyperlink" Target="http://stats.oecd.org/OECDStat_Metadata/ShowMetadata.ashx?Dataset=CRS1&amp;Coords=%5bDONOR%5d.%5b974%5d&amp;ShowOnWeb=true&amp;Lang=en" TargetMode="External"/><Relationship Id="rId20" Type="http://schemas.openxmlformats.org/officeDocument/2006/relationships/hyperlink" Target="http://stats.oecd.org/OECDStat_Metadata/ShowMetadata.ashx?Dataset=CRS1&amp;Coords=%5bDONOR%5d.%5b928%5d&amp;ShowOnWeb=true&amp;Lang=en" TargetMode="External"/><Relationship Id="rId29" Type="http://schemas.openxmlformats.org/officeDocument/2006/relationships/hyperlink" Target="http://stats.oecd.org/OECDStat_Metadata/ShowMetadata.ashx?Dataset=CRS1&amp;Coords=%5bDONOR%5d.%5b812%5d&amp;ShowOnWeb=true&amp;Lang=en" TargetMode="External"/><Relationship Id="rId1" Type="http://schemas.openxmlformats.org/officeDocument/2006/relationships/hyperlink" Target="http://stats.oecd.org/OECDStat_Metadata/ShowMetadata.ashx?Dataset=CRS1&amp;ShowOnWeb=true&amp;Lang=en" TargetMode="External"/><Relationship Id="rId6" Type="http://schemas.openxmlformats.org/officeDocument/2006/relationships/hyperlink" Target="http://stats.oecd.org/OECDStat_Metadata/ShowMetadata.ashx?Dataset=CRS1&amp;Coords=%5bDONOR%5d.%5b913%5d&amp;ShowOnWeb=true&amp;Lang=en" TargetMode="External"/><Relationship Id="rId11" Type="http://schemas.openxmlformats.org/officeDocument/2006/relationships/hyperlink" Target="http://stats.oecd.org/OECDStat_Metadata/ShowMetadata.ashx?Dataset=CRS1&amp;Coords=%5bDONOR%5d.%5b932%5d&amp;ShowOnWeb=true&amp;Lang=en" TargetMode="External"/><Relationship Id="rId24" Type="http://schemas.openxmlformats.org/officeDocument/2006/relationships/hyperlink" Target="http://stats.oecd.org/OECDStat_Metadata/ShowMetadata.ashx?Dataset=CRS1&amp;Coords=%5bDONOR%5d.%5b1012%5d&amp;ShowOnWeb=true&amp;Lang=en" TargetMode="External"/><Relationship Id="rId32" Type="http://schemas.openxmlformats.org/officeDocument/2006/relationships/hyperlink" Target="http://stats.oecd.org/OECDStat_Metadata/ShowMetadata.ashx?Dataset=CRS1&amp;Coords=%5bDONOR%5d.%5b546%5d&amp;ShowOnWeb=true&amp;Lang=en" TargetMode="External"/><Relationship Id="rId37" Type="http://schemas.openxmlformats.org/officeDocument/2006/relationships/hyperlink" Target="http://stats.oecd.org/" TargetMode="External"/><Relationship Id="rId5" Type="http://schemas.openxmlformats.org/officeDocument/2006/relationships/hyperlink" Target="http://stats.oecd.org/OECDStat_Metadata/ShowMetadata.ashx?Dataset=CRS1&amp;Coords=%5bDONOR%5d.%5b958%5d&amp;ShowOnWeb=true&amp;Lang=en" TargetMode="External"/><Relationship Id="rId15" Type="http://schemas.openxmlformats.org/officeDocument/2006/relationships/hyperlink" Target="http://stats.oecd.org/OECDStat_Metadata/ShowMetadata.ashx?Dataset=CRS1&amp;Coords=%5bDONOR%5d.%5b807%5d&amp;ShowOnWeb=true&amp;Lang=en" TargetMode="External"/><Relationship Id="rId23" Type="http://schemas.openxmlformats.org/officeDocument/2006/relationships/hyperlink" Target="http://stats.oecd.org/OECDStat_Metadata/ShowMetadata.ashx?Dataset=CRS1&amp;Coords=%5bDONOR%5d.%5b903%5d&amp;ShowOnWeb=true&amp;Lang=en" TargetMode="External"/><Relationship Id="rId28" Type="http://schemas.openxmlformats.org/officeDocument/2006/relationships/hyperlink" Target="http://stats.oecd.org/OECDStat_Metadata/ShowMetadata.ashx?Dataset=CRS1&amp;Coords=%5bDONOR%5d.%5b1312%5d&amp;ShowOnWeb=true&amp;Lang=en" TargetMode="External"/><Relationship Id="rId36" Type="http://schemas.openxmlformats.org/officeDocument/2006/relationships/hyperlink" Target="http://stats.oecd.org/OECDStat_Metadata/ShowMetadata.ashx?Dataset=CRS1&amp;Coords=%5bDONOR%5d.%5b1601%5d&amp;ShowOnWeb=true&amp;Lang=en" TargetMode="External"/><Relationship Id="rId10" Type="http://schemas.openxmlformats.org/officeDocument/2006/relationships/hyperlink" Target="http://stats.oecd.org/OECDStat_Metadata/ShowMetadata.ashx?Dataset=CRS1&amp;Coords=%5bDONOR%5d.%5b1013%5d&amp;ShowOnWeb=true&amp;Lang=en" TargetMode="External"/><Relationship Id="rId19" Type="http://schemas.openxmlformats.org/officeDocument/2006/relationships/hyperlink" Target="http://stats.oecd.org/OECDStat_Metadata/ShowMetadata.ashx?Dataset=CRS1&amp;Coords=%5bDONOR%5d.%5b964%5d&amp;ShowOnWeb=true&amp;Lang=en" TargetMode="External"/><Relationship Id="rId31" Type="http://schemas.openxmlformats.org/officeDocument/2006/relationships/hyperlink" Target="http://stats.oecd.org/OECDStat_Metadata/ShowMetadata.ashx?Dataset=CRS1&amp;Coords=%5bDONOR%5d.%5b30%5d&amp;ShowOnWeb=true&amp;Lang=en" TargetMode="External"/><Relationship Id="rId4" Type="http://schemas.openxmlformats.org/officeDocument/2006/relationships/hyperlink" Target="http://stats.oecd.org/OECDStat_Metadata/ShowMetadata.ashx?Dataset=CRS1&amp;Coords=%5bAIDTYPE%5d.%5b100%5d&amp;ShowOnWeb=true&amp;Lang=en" TargetMode="External"/><Relationship Id="rId9" Type="http://schemas.openxmlformats.org/officeDocument/2006/relationships/hyperlink" Target="http://stats.oecd.org/OECDStat_Metadata/ShowMetadata.ashx?Dataset=CRS1&amp;Coords=%5bDONOR%5d.%5b916%5d&amp;ShowOnWeb=true&amp;Lang=en" TargetMode="External"/><Relationship Id="rId14" Type="http://schemas.openxmlformats.org/officeDocument/2006/relationships/hyperlink" Target="http://stats.oecd.org/OECDStat_Metadata/ShowMetadata.ashx?Dataset=CRS1&amp;Coords=%5bDONOR%5d.%5b948%5d&amp;ShowOnWeb=true&amp;Lang=en" TargetMode="External"/><Relationship Id="rId22" Type="http://schemas.openxmlformats.org/officeDocument/2006/relationships/hyperlink" Target="http://stats.oecd.org/OECDStat_Metadata/ShowMetadata.ashx?Dataset=CRS1&amp;Coords=%5bDONOR%5d.%5b905%5d&amp;ShowOnWeb=true&amp;Lang=en" TargetMode="External"/><Relationship Id="rId27" Type="http://schemas.openxmlformats.org/officeDocument/2006/relationships/hyperlink" Target="http://stats.oecd.org/OECDStat_Metadata/ShowMetadata.ashx?Dataset=CRS1&amp;Coords=%5bDONOR%5d.%5b811%5d&amp;ShowOnWeb=true&amp;Lang=en" TargetMode="External"/><Relationship Id="rId30" Type="http://schemas.openxmlformats.org/officeDocument/2006/relationships/hyperlink" Target="http://stats.oecd.org/OECDStat_Metadata/ShowMetadata.ashx?Dataset=CRS1&amp;Coords=%5bDONOR%5d.%5b978%5d&amp;ShowOnWeb=true&amp;Lang=en" TargetMode="External"/><Relationship Id="rId35" Type="http://schemas.openxmlformats.org/officeDocument/2006/relationships/hyperlink" Target="http://stats.oecd.org/OECDStat_Metadata/ShowMetadata.ashx?Dataset=CRS1&amp;Coords=%5bDONOR%5d.%5b576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20"/>
  <sheetViews>
    <sheetView view="pageBreakPreview" zoomScale="60" zoomScaleNormal="80" workbookViewId="0">
      <pane xSplit="2" ySplit="3" topLeftCell="C4" activePane="bottomRight" state="frozen"/>
      <selection activeCell="I20" sqref="I20"/>
      <selection pane="topRight" activeCell="I20" sqref="I20"/>
      <selection pane="bottomLeft" activeCell="I20" sqref="I20"/>
      <selection pane="bottomRight" activeCell="O8" sqref="O8"/>
    </sheetView>
  </sheetViews>
  <sheetFormatPr defaultRowHeight="18.75"/>
  <cols>
    <col min="1" max="1" width="20.7109375" style="23" customWidth="1"/>
    <col min="2" max="2" width="95.7109375" style="23" customWidth="1"/>
    <col min="3" max="3" width="18.7109375" style="23" customWidth="1"/>
    <col min="4" max="15" width="18.7109375" style="24" customWidth="1"/>
    <col min="16" max="19" width="18.7109375" style="23" customWidth="1"/>
    <col min="20" max="20" width="36.7109375" style="23" customWidth="1"/>
    <col min="21" max="21" width="14.5703125" customWidth="1"/>
  </cols>
  <sheetData>
    <row r="1" spans="1:21" s="2" customFormat="1">
      <c r="A1" s="1158"/>
      <c r="B1" s="1159"/>
      <c r="C1" s="1164" t="s">
        <v>226</v>
      </c>
      <c r="D1" s="1164"/>
      <c r="E1" s="1165"/>
      <c r="F1" s="1165"/>
      <c r="G1" s="1165"/>
      <c r="H1" s="513"/>
      <c r="I1" s="1164"/>
      <c r="J1" s="1164"/>
      <c r="K1" s="1164"/>
      <c r="L1" s="1164"/>
      <c r="M1" s="1164"/>
      <c r="N1" s="1166" t="s">
        <v>227</v>
      </c>
      <c r="O1" s="1169"/>
      <c r="P1" s="1168"/>
      <c r="Q1" s="1166" t="s">
        <v>218</v>
      </c>
      <c r="R1" s="1167"/>
      <c r="S1" s="1168"/>
      <c r="T1" s="1157" t="s">
        <v>6</v>
      </c>
    </row>
    <row r="2" spans="1:21" s="2" customFormat="1" ht="21">
      <c r="A2" s="1160"/>
      <c r="B2" s="1161"/>
      <c r="C2" s="521" t="s">
        <v>214</v>
      </c>
      <c r="D2" s="537" t="s">
        <v>7</v>
      </c>
      <c r="E2" s="538" t="s">
        <v>1943</v>
      </c>
      <c r="F2" s="538" t="s">
        <v>1945</v>
      </c>
      <c r="G2" s="538" t="s">
        <v>1947</v>
      </c>
      <c r="H2" s="522" t="s">
        <v>1949</v>
      </c>
      <c r="I2" s="522" t="s">
        <v>1951</v>
      </c>
      <c r="J2" s="538" t="s">
        <v>1953</v>
      </c>
      <c r="K2" s="538" t="s">
        <v>1955</v>
      </c>
      <c r="L2" s="538" t="s">
        <v>1957</v>
      </c>
      <c r="M2" s="538" t="s">
        <v>1959</v>
      </c>
      <c r="N2" s="522" t="s">
        <v>1961</v>
      </c>
      <c r="O2" s="523" t="s">
        <v>217</v>
      </c>
      <c r="P2" s="536" t="s">
        <v>210</v>
      </c>
      <c r="Q2" s="524" t="s">
        <v>219</v>
      </c>
      <c r="R2" s="576" t="s">
        <v>211</v>
      </c>
      <c r="S2" s="577" t="s">
        <v>1964</v>
      </c>
      <c r="T2" s="1157"/>
    </row>
    <row r="3" spans="1:21" s="14" customFormat="1" ht="189">
      <c r="A3" s="1162"/>
      <c r="B3" s="1163"/>
      <c r="C3" s="521" t="s">
        <v>215</v>
      </c>
      <c r="D3" s="537" t="s">
        <v>10</v>
      </c>
      <c r="E3" s="538" t="s">
        <v>1944</v>
      </c>
      <c r="F3" s="538" t="s">
        <v>1946</v>
      </c>
      <c r="G3" s="538" t="s">
        <v>1948</v>
      </c>
      <c r="H3" s="522" t="s">
        <v>1950</v>
      </c>
      <c r="I3" s="522" t="s">
        <v>1952</v>
      </c>
      <c r="J3" s="538" t="s">
        <v>1954</v>
      </c>
      <c r="K3" s="538" t="s">
        <v>1956</v>
      </c>
      <c r="L3" s="538" t="s">
        <v>1958</v>
      </c>
      <c r="M3" s="538" t="s">
        <v>1960</v>
      </c>
      <c r="N3" s="522" t="s">
        <v>1962</v>
      </c>
      <c r="O3" s="523" t="s">
        <v>216</v>
      </c>
      <c r="P3" s="536" t="s">
        <v>220</v>
      </c>
      <c r="Q3" s="525" t="s">
        <v>1963</v>
      </c>
      <c r="R3" s="526" t="s">
        <v>221</v>
      </c>
      <c r="S3" s="527" t="s">
        <v>1965</v>
      </c>
      <c r="T3" s="1157"/>
    </row>
    <row r="4" spans="1:21" s="95" customFormat="1" ht="42">
      <c r="A4" s="514" t="s">
        <v>14</v>
      </c>
      <c r="B4" s="514" t="s">
        <v>15</v>
      </c>
      <c r="C4" s="467">
        <f>C5</f>
        <v>783000037.35481</v>
      </c>
      <c r="D4" s="467">
        <f>D5</f>
        <v>783000037.35481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>
        <f>C4+O4+P4+Q4</f>
        <v>783000037.35481</v>
      </c>
    </row>
    <row r="5" spans="1:21" s="15" customFormat="1" ht="21">
      <c r="A5" s="533" t="s">
        <v>16</v>
      </c>
      <c r="B5" s="516" t="s">
        <v>17</v>
      </c>
      <c r="C5" s="528">
        <f t="shared" ref="C5" si="0">D5</f>
        <v>783000037.35481</v>
      </c>
      <c r="D5" s="529">
        <f>'HF-HP'!D38</f>
        <v>783000037.35481</v>
      </c>
      <c r="E5" s="529"/>
      <c r="F5" s="529"/>
      <c r="G5" s="529"/>
      <c r="H5" s="530"/>
      <c r="I5" s="530"/>
      <c r="J5" s="529"/>
      <c r="K5" s="529"/>
      <c r="L5" s="529"/>
      <c r="M5" s="529"/>
      <c r="N5" s="530"/>
      <c r="O5" s="467"/>
      <c r="P5" s="467"/>
      <c r="Q5" s="467"/>
      <c r="R5" s="493"/>
      <c r="S5" s="493"/>
      <c r="T5" s="493">
        <f>C5+O5+P5+Q5</f>
        <v>783000037.35481</v>
      </c>
      <c r="U5" s="41"/>
    </row>
    <row r="6" spans="1:21" s="15" customFormat="1" ht="42">
      <c r="A6" s="533" t="s">
        <v>1882</v>
      </c>
      <c r="B6" s="516" t="s">
        <v>1883</v>
      </c>
      <c r="C6" s="528"/>
      <c r="D6" s="529"/>
      <c r="E6" s="529"/>
      <c r="F6" s="529"/>
      <c r="G6" s="529"/>
      <c r="H6" s="530"/>
      <c r="I6" s="530"/>
      <c r="J6" s="529"/>
      <c r="K6" s="529"/>
      <c r="L6" s="529"/>
      <c r="M6" s="529"/>
      <c r="N6" s="530"/>
      <c r="O6" s="467"/>
      <c r="P6" s="467"/>
      <c r="Q6" s="467"/>
      <c r="R6" s="493"/>
      <c r="S6" s="493"/>
      <c r="T6" s="493"/>
      <c r="U6" s="41"/>
    </row>
    <row r="7" spans="1:21" s="95" customFormat="1" ht="21">
      <c r="A7" s="517" t="s">
        <v>35</v>
      </c>
      <c r="B7" s="514" t="s">
        <v>36</v>
      </c>
      <c r="C7" s="531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>
        <f>O10+O8</f>
        <v>20577506</v>
      </c>
      <c r="P7" s="531">
        <f>P10</f>
        <v>37246885</v>
      </c>
      <c r="Q7" s="467"/>
      <c r="R7" s="531"/>
      <c r="S7" s="531"/>
      <c r="T7" s="531">
        <f>C7+O7+P7+Q7</f>
        <v>57824391</v>
      </c>
    </row>
    <row r="8" spans="1:21" s="15" customFormat="1" ht="21">
      <c r="A8" s="534" t="s">
        <v>37</v>
      </c>
      <c r="B8" s="516" t="s">
        <v>38</v>
      </c>
      <c r="C8" s="531"/>
      <c r="D8" s="493"/>
      <c r="E8" s="493"/>
      <c r="F8" s="493"/>
      <c r="G8" s="493"/>
      <c r="H8" s="467"/>
      <c r="I8" s="467"/>
      <c r="J8" s="493"/>
      <c r="K8" s="493"/>
      <c r="L8" s="493"/>
      <c r="M8" s="493"/>
      <c r="N8" s="467"/>
      <c r="O8" s="531">
        <f>'НБ прем.'!C30</f>
        <v>20577506</v>
      </c>
      <c r="P8" s="531"/>
      <c r="Q8" s="467"/>
      <c r="R8" s="532"/>
      <c r="S8" s="532"/>
      <c r="T8" s="532">
        <f>C8+O8+P8+Q8</f>
        <v>20577506</v>
      </c>
    </row>
    <row r="9" spans="1:21" s="15" customFormat="1" ht="21">
      <c r="A9" s="534" t="s">
        <v>1884</v>
      </c>
      <c r="B9" s="516" t="s">
        <v>1885</v>
      </c>
      <c r="C9" s="531"/>
      <c r="D9" s="493"/>
      <c r="E9" s="493"/>
      <c r="F9" s="493"/>
      <c r="G9" s="493"/>
      <c r="H9" s="467"/>
      <c r="I9" s="467"/>
      <c r="J9" s="493"/>
      <c r="K9" s="493"/>
      <c r="L9" s="493"/>
      <c r="M9" s="493"/>
      <c r="N9" s="467"/>
      <c r="O9" s="531"/>
      <c r="P9" s="531"/>
      <c r="Q9" s="467"/>
      <c r="R9" s="532"/>
      <c r="S9" s="532"/>
      <c r="T9" s="532"/>
    </row>
    <row r="10" spans="1:21" s="15" customFormat="1" ht="21">
      <c r="A10" s="535" t="s">
        <v>39</v>
      </c>
      <c r="B10" s="516" t="s">
        <v>40</v>
      </c>
      <c r="C10" s="512"/>
      <c r="D10" s="493"/>
      <c r="E10" s="493"/>
      <c r="F10" s="493"/>
      <c r="G10" s="493"/>
      <c r="H10" s="467"/>
      <c r="I10" s="467"/>
      <c r="J10" s="493"/>
      <c r="K10" s="493"/>
      <c r="L10" s="493"/>
      <c r="M10" s="493"/>
      <c r="N10" s="467"/>
      <c r="O10" s="512"/>
      <c r="P10" s="512">
        <f>'ОУ 2015'!D4-'НБ выпл.'!C29</f>
        <v>37246885</v>
      </c>
      <c r="Q10" s="467"/>
      <c r="R10" s="509"/>
      <c r="S10" s="509"/>
      <c r="T10" s="509">
        <f>C10+O10+P10+Q10</f>
        <v>37246885</v>
      </c>
    </row>
    <row r="11" spans="1:21" s="95" customFormat="1" ht="21">
      <c r="A11" s="518" t="s">
        <v>41</v>
      </c>
      <c r="B11" s="514" t="s">
        <v>42</v>
      </c>
      <c r="C11" s="512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512"/>
      <c r="P11" s="512">
        <f>OДХold!L14</f>
        <v>523840494.8282243</v>
      </c>
      <c r="Q11" s="467"/>
      <c r="R11" s="512"/>
      <c r="S11" s="512"/>
      <c r="T11" s="512">
        <f>C11+O11+P11+Q11</f>
        <v>523840494.8282243</v>
      </c>
    </row>
    <row r="12" spans="1:21" s="95" customFormat="1" ht="21" customHeight="1">
      <c r="A12" s="535" t="s">
        <v>1886</v>
      </c>
      <c r="B12" s="516" t="s">
        <v>1966</v>
      </c>
      <c r="C12" s="512"/>
      <c r="D12" s="493"/>
      <c r="E12" s="493"/>
      <c r="F12" s="493"/>
      <c r="G12" s="493"/>
      <c r="H12" s="467"/>
      <c r="I12" s="467"/>
      <c r="J12" s="493"/>
      <c r="K12" s="493"/>
      <c r="L12" s="493"/>
      <c r="M12" s="493"/>
      <c r="N12" s="467"/>
      <c r="O12" s="512"/>
      <c r="P12" s="512"/>
      <c r="Q12" s="467"/>
      <c r="R12" s="509"/>
      <c r="S12" s="509"/>
      <c r="T12" s="509"/>
    </row>
    <row r="13" spans="1:21" s="95" customFormat="1" ht="21" customHeight="1">
      <c r="A13" s="535" t="s">
        <v>1887</v>
      </c>
      <c r="B13" s="516" t="s">
        <v>1967</v>
      </c>
      <c r="C13" s="512"/>
      <c r="D13" s="493"/>
      <c r="E13" s="493"/>
      <c r="F13" s="493"/>
      <c r="G13" s="493"/>
      <c r="H13" s="467"/>
      <c r="I13" s="467"/>
      <c r="J13" s="493"/>
      <c r="K13" s="493"/>
      <c r="L13" s="493"/>
      <c r="M13" s="493"/>
      <c r="N13" s="467"/>
      <c r="O13" s="512"/>
      <c r="P13" s="512"/>
      <c r="Q13" s="467"/>
      <c r="R13" s="509"/>
      <c r="S13" s="509"/>
      <c r="T13" s="509"/>
    </row>
    <row r="14" spans="1:21" s="95" customFormat="1" ht="21">
      <c r="A14" s="518" t="s">
        <v>43</v>
      </c>
      <c r="B14" s="514" t="s">
        <v>44</v>
      </c>
      <c r="C14" s="512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512"/>
      <c r="P14" s="512"/>
      <c r="Q14" s="467">
        <f>R14+S14</f>
        <v>4631429.0600000005</v>
      </c>
      <c r="R14" s="512">
        <f>R16</f>
        <v>2694132.06</v>
      </c>
      <c r="S14" s="512">
        <f>S15+S16</f>
        <v>1937297</v>
      </c>
      <c r="T14" s="512">
        <f>C14+O14+P14+Q14</f>
        <v>4631429.0600000005</v>
      </c>
    </row>
    <row r="15" spans="1:21" s="95" customFormat="1" ht="21">
      <c r="A15" s="535" t="s">
        <v>1888</v>
      </c>
      <c r="B15" s="516" t="s">
        <v>1968</v>
      </c>
      <c r="C15" s="512"/>
      <c r="D15" s="493"/>
      <c r="E15" s="493"/>
      <c r="F15" s="493"/>
      <c r="G15" s="493"/>
      <c r="H15" s="467"/>
      <c r="I15" s="467"/>
      <c r="J15" s="493"/>
      <c r="K15" s="493"/>
      <c r="L15" s="493"/>
      <c r="M15" s="493"/>
      <c r="N15" s="467"/>
      <c r="O15" s="512"/>
      <c r="P15" s="512"/>
      <c r="Q15" s="467"/>
      <c r="R15" s="509"/>
      <c r="S15" s="509"/>
      <c r="T15" s="509"/>
    </row>
    <row r="16" spans="1:21" s="15" customFormat="1" ht="21">
      <c r="A16" s="535" t="s">
        <v>45</v>
      </c>
      <c r="B16" s="516" t="s">
        <v>1969</v>
      </c>
      <c r="C16" s="512"/>
      <c r="D16" s="493"/>
      <c r="E16" s="493"/>
      <c r="F16" s="493"/>
      <c r="G16" s="493"/>
      <c r="H16" s="467"/>
      <c r="I16" s="467"/>
      <c r="J16" s="493"/>
      <c r="K16" s="493"/>
      <c r="L16" s="493"/>
      <c r="M16" s="493"/>
      <c r="N16" s="467"/>
      <c r="O16" s="512"/>
      <c r="P16" s="512"/>
      <c r="Q16" s="467"/>
      <c r="R16" s="493">
        <f>ФХД2!C18+Доноры!O15</f>
        <v>2694132.06</v>
      </c>
      <c r="S16" s="493">
        <f>'РБ 2015'!N57</f>
        <v>1937297</v>
      </c>
      <c r="T16" s="509">
        <f>C16+O16+P16+Q16</f>
        <v>0</v>
      </c>
    </row>
    <row r="17" spans="1:20" s="95" customFormat="1" ht="21">
      <c r="A17" s="518" t="s">
        <v>1889</v>
      </c>
      <c r="B17" s="519" t="s">
        <v>1890</v>
      </c>
      <c r="C17" s="512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512"/>
      <c r="P17" s="512"/>
      <c r="Q17" s="467"/>
      <c r="R17" s="512"/>
      <c r="S17" s="512"/>
      <c r="T17" s="512"/>
    </row>
    <row r="18" spans="1:20" s="96" customFormat="1" ht="30.95" customHeight="1">
      <c r="A18" s="1155" t="s">
        <v>46</v>
      </c>
      <c r="B18" s="1156"/>
      <c r="C18" s="512">
        <f>C4+C7+C11+C14</f>
        <v>783000037.35481</v>
      </c>
      <c r="D18" s="512">
        <f>D4+D7+D11+D14</f>
        <v>783000037.35481</v>
      </c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>
        <f>O4+O7+O11+O14</f>
        <v>20577506</v>
      </c>
      <c r="P18" s="512">
        <f>P4+P7+P11+P14</f>
        <v>561087379.8282243</v>
      </c>
      <c r="Q18" s="512">
        <f>Q4+Q7+Q11+Q14</f>
        <v>4631429.0600000005</v>
      </c>
      <c r="R18" s="512">
        <f>R14</f>
        <v>2694132.06</v>
      </c>
      <c r="S18" s="512"/>
      <c r="T18" s="520">
        <f>C18+O18+P18+Q18</f>
        <v>1369296352.2430344</v>
      </c>
    </row>
    <row r="19" spans="1:20" s="1" customFormat="1">
      <c r="A19" s="23"/>
      <c r="B19" s="23"/>
      <c r="C19" s="25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25"/>
      <c r="Q19" s="25"/>
      <c r="R19" s="25"/>
      <c r="S19" s="25"/>
      <c r="T19" s="23"/>
    </row>
    <row r="20" spans="1:20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</sheetData>
  <sheetProtection selectLockedCells="1" selectUnlockedCells="1"/>
  <mergeCells count="7">
    <mergeCell ref="A18:B18"/>
    <mergeCell ref="T1:T3"/>
    <mergeCell ref="A1:B3"/>
    <mergeCell ref="C1:G1"/>
    <mergeCell ref="Q1:S1"/>
    <mergeCell ref="I1:M1"/>
    <mergeCell ref="N1:P1"/>
  </mergeCells>
  <printOptions horizontalCentered="1"/>
  <pageMargins left="0.11811023622047245" right="0.11811023622047245" top="1.1417322834645669" bottom="0.19685039370078741" header="0.31496062992125984" footer="0.31496062992125984"/>
  <pageSetup paperSize="9" scale="29" firstPageNumber="107" orientation="landscape" useFirstPageNumber="1" r:id="rId1"/>
  <headerFooter scaleWithDoc="0">
    <oddHeader xml:space="preserve">&amp;R
Приложение 1. </oddHead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148"/>
  <sheetViews>
    <sheetView zoomScaleNormal="100" zoomScaleSheetLayoutView="100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A33" sqref="A33"/>
    </sheetView>
  </sheetViews>
  <sheetFormatPr defaultColWidth="9.140625" defaultRowHeight="12.75"/>
  <cols>
    <col min="1" max="1" width="55.85546875" style="894" customWidth="1"/>
    <col min="2" max="2" width="12.7109375" style="944" customWidth="1"/>
    <col min="3" max="11" width="12.7109375" style="894" customWidth="1"/>
    <col min="12" max="12" width="13.5703125" style="912" customWidth="1"/>
    <col min="13" max="13" width="14.28515625" style="916" customWidth="1"/>
    <col min="14" max="14" width="13.28515625" style="894" customWidth="1"/>
    <col min="15" max="15" width="15.28515625" style="894" customWidth="1"/>
    <col min="16" max="256" width="9.140625" style="894"/>
    <col min="257" max="257" width="55.85546875" style="894" customWidth="1"/>
    <col min="258" max="267" width="12.7109375" style="894" customWidth="1"/>
    <col min="268" max="268" width="13.5703125" style="894" customWidth="1"/>
    <col min="269" max="269" width="14.28515625" style="894" customWidth="1"/>
    <col min="270" max="270" width="13.28515625" style="894" customWidth="1"/>
    <col min="271" max="271" width="15.28515625" style="894" customWidth="1"/>
    <col min="272" max="512" width="9.140625" style="894"/>
    <col min="513" max="513" width="55.85546875" style="894" customWidth="1"/>
    <col min="514" max="523" width="12.7109375" style="894" customWidth="1"/>
    <col min="524" max="524" width="13.5703125" style="894" customWidth="1"/>
    <col min="525" max="525" width="14.28515625" style="894" customWidth="1"/>
    <col min="526" max="526" width="13.28515625" style="894" customWidth="1"/>
    <col min="527" max="527" width="15.28515625" style="894" customWidth="1"/>
    <col min="528" max="768" width="9.140625" style="894"/>
    <col min="769" max="769" width="55.85546875" style="894" customWidth="1"/>
    <col min="770" max="779" width="12.7109375" style="894" customWidth="1"/>
    <col min="780" max="780" width="13.5703125" style="894" customWidth="1"/>
    <col min="781" max="781" width="14.28515625" style="894" customWidth="1"/>
    <col min="782" max="782" width="13.28515625" style="894" customWidth="1"/>
    <col min="783" max="783" width="15.28515625" style="894" customWidth="1"/>
    <col min="784" max="1024" width="9.140625" style="894"/>
    <col min="1025" max="1025" width="55.85546875" style="894" customWidth="1"/>
    <col min="1026" max="1035" width="12.7109375" style="894" customWidth="1"/>
    <col min="1036" max="1036" width="13.5703125" style="894" customWidth="1"/>
    <col min="1037" max="1037" width="14.28515625" style="894" customWidth="1"/>
    <col min="1038" max="1038" width="13.28515625" style="894" customWidth="1"/>
    <col min="1039" max="1039" width="15.28515625" style="894" customWidth="1"/>
    <col min="1040" max="1280" width="9.140625" style="894"/>
    <col min="1281" max="1281" width="55.85546875" style="894" customWidth="1"/>
    <col min="1282" max="1291" width="12.7109375" style="894" customWidth="1"/>
    <col min="1292" max="1292" width="13.5703125" style="894" customWidth="1"/>
    <col min="1293" max="1293" width="14.28515625" style="894" customWidth="1"/>
    <col min="1294" max="1294" width="13.28515625" style="894" customWidth="1"/>
    <col min="1295" max="1295" width="15.28515625" style="894" customWidth="1"/>
    <col min="1296" max="1536" width="9.140625" style="894"/>
    <col min="1537" max="1537" width="55.85546875" style="894" customWidth="1"/>
    <col min="1538" max="1547" width="12.7109375" style="894" customWidth="1"/>
    <col min="1548" max="1548" width="13.5703125" style="894" customWidth="1"/>
    <col min="1549" max="1549" width="14.28515625" style="894" customWidth="1"/>
    <col min="1550" max="1550" width="13.28515625" style="894" customWidth="1"/>
    <col min="1551" max="1551" width="15.28515625" style="894" customWidth="1"/>
    <col min="1552" max="1792" width="9.140625" style="894"/>
    <col min="1793" max="1793" width="55.85546875" style="894" customWidth="1"/>
    <col min="1794" max="1803" width="12.7109375" style="894" customWidth="1"/>
    <col min="1804" max="1804" width="13.5703125" style="894" customWidth="1"/>
    <col min="1805" max="1805" width="14.28515625" style="894" customWidth="1"/>
    <col min="1806" max="1806" width="13.28515625" style="894" customWidth="1"/>
    <col min="1807" max="1807" width="15.28515625" style="894" customWidth="1"/>
    <col min="1808" max="2048" width="9.140625" style="894"/>
    <col min="2049" max="2049" width="55.85546875" style="894" customWidth="1"/>
    <col min="2050" max="2059" width="12.7109375" style="894" customWidth="1"/>
    <col min="2060" max="2060" width="13.5703125" style="894" customWidth="1"/>
    <col min="2061" max="2061" width="14.28515625" style="894" customWidth="1"/>
    <col min="2062" max="2062" width="13.28515625" style="894" customWidth="1"/>
    <col min="2063" max="2063" width="15.28515625" style="894" customWidth="1"/>
    <col min="2064" max="2304" width="9.140625" style="894"/>
    <col min="2305" max="2305" width="55.85546875" style="894" customWidth="1"/>
    <col min="2306" max="2315" width="12.7109375" style="894" customWidth="1"/>
    <col min="2316" max="2316" width="13.5703125" style="894" customWidth="1"/>
    <col min="2317" max="2317" width="14.28515625" style="894" customWidth="1"/>
    <col min="2318" max="2318" width="13.28515625" style="894" customWidth="1"/>
    <col min="2319" max="2319" width="15.28515625" style="894" customWidth="1"/>
    <col min="2320" max="2560" width="9.140625" style="894"/>
    <col min="2561" max="2561" width="55.85546875" style="894" customWidth="1"/>
    <col min="2562" max="2571" width="12.7109375" style="894" customWidth="1"/>
    <col min="2572" max="2572" width="13.5703125" style="894" customWidth="1"/>
    <col min="2573" max="2573" width="14.28515625" style="894" customWidth="1"/>
    <col min="2574" max="2574" width="13.28515625" style="894" customWidth="1"/>
    <col min="2575" max="2575" width="15.28515625" style="894" customWidth="1"/>
    <col min="2576" max="2816" width="9.140625" style="894"/>
    <col min="2817" max="2817" width="55.85546875" style="894" customWidth="1"/>
    <col min="2818" max="2827" width="12.7109375" style="894" customWidth="1"/>
    <col min="2828" max="2828" width="13.5703125" style="894" customWidth="1"/>
    <col min="2829" max="2829" width="14.28515625" style="894" customWidth="1"/>
    <col min="2830" max="2830" width="13.28515625" style="894" customWidth="1"/>
    <col min="2831" max="2831" width="15.28515625" style="894" customWidth="1"/>
    <col min="2832" max="3072" width="9.140625" style="894"/>
    <col min="3073" max="3073" width="55.85546875" style="894" customWidth="1"/>
    <col min="3074" max="3083" width="12.7109375" style="894" customWidth="1"/>
    <col min="3084" max="3084" width="13.5703125" style="894" customWidth="1"/>
    <col min="3085" max="3085" width="14.28515625" style="894" customWidth="1"/>
    <col min="3086" max="3086" width="13.28515625" style="894" customWidth="1"/>
    <col min="3087" max="3087" width="15.28515625" style="894" customWidth="1"/>
    <col min="3088" max="3328" width="9.140625" style="894"/>
    <col min="3329" max="3329" width="55.85546875" style="894" customWidth="1"/>
    <col min="3330" max="3339" width="12.7109375" style="894" customWidth="1"/>
    <col min="3340" max="3340" width="13.5703125" style="894" customWidth="1"/>
    <col min="3341" max="3341" width="14.28515625" style="894" customWidth="1"/>
    <col min="3342" max="3342" width="13.28515625" style="894" customWidth="1"/>
    <col min="3343" max="3343" width="15.28515625" style="894" customWidth="1"/>
    <col min="3344" max="3584" width="9.140625" style="894"/>
    <col min="3585" max="3585" width="55.85546875" style="894" customWidth="1"/>
    <col min="3586" max="3595" width="12.7109375" style="894" customWidth="1"/>
    <col min="3596" max="3596" width="13.5703125" style="894" customWidth="1"/>
    <col min="3597" max="3597" width="14.28515625" style="894" customWidth="1"/>
    <col min="3598" max="3598" width="13.28515625" style="894" customWidth="1"/>
    <col min="3599" max="3599" width="15.28515625" style="894" customWidth="1"/>
    <col min="3600" max="3840" width="9.140625" style="894"/>
    <col min="3841" max="3841" width="55.85546875" style="894" customWidth="1"/>
    <col min="3842" max="3851" width="12.7109375" style="894" customWidth="1"/>
    <col min="3852" max="3852" width="13.5703125" style="894" customWidth="1"/>
    <col min="3853" max="3853" width="14.28515625" style="894" customWidth="1"/>
    <col min="3854" max="3854" width="13.28515625" style="894" customWidth="1"/>
    <col min="3855" max="3855" width="15.28515625" style="894" customWidth="1"/>
    <col min="3856" max="4096" width="9.140625" style="894"/>
    <col min="4097" max="4097" width="55.85546875" style="894" customWidth="1"/>
    <col min="4098" max="4107" width="12.7109375" style="894" customWidth="1"/>
    <col min="4108" max="4108" width="13.5703125" style="894" customWidth="1"/>
    <col min="4109" max="4109" width="14.28515625" style="894" customWidth="1"/>
    <col min="4110" max="4110" width="13.28515625" style="894" customWidth="1"/>
    <col min="4111" max="4111" width="15.28515625" style="894" customWidth="1"/>
    <col min="4112" max="4352" width="9.140625" style="894"/>
    <col min="4353" max="4353" width="55.85546875" style="894" customWidth="1"/>
    <col min="4354" max="4363" width="12.7109375" style="894" customWidth="1"/>
    <col min="4364" max="4364" width="13.5703125" style="894" customWidth="1"/>
    <col min="4365" max="4365" width="14.28515625" style="894" customWidth="1"/>
    <col min="4366" max="4366" width="13.28515625" style="894" customWidth="1"/>
    <col min="4367" max="4367" width="15.28515625" style="894" customWidth="1"/>
    <col min="4368" max="4608" width="9.140625" style="894"/>
    <col min="4609" max="4609" width="55.85546875" style="894" customWidth="1"/>
    <col min="4610" max="4619" width="12.7109375" style="894" customWidth="1"/>
    <col min="4620" max="4620" width="13.5703125" style="894" customWidth="1"/>
    <col min="4621" max="4621" width="14.28515625" style="894" customWidth="1"/>
    <col min="4622" max="4622" width="13.28515625" style="894" customWidth="1"/>
    <col min="4623" max="4623" width="15.28515625" style="894" customWidth="1"/>
    <col min="4624" max="4864" width="9.140625" style="894"/>
    <col min="4865" max="4865" width="55.85546875" style="894" customWidth="1"/>
    <col min="4866" max="4875" width="12.7109375" style="894" customWidth="1"/>
    <col min="4876" max="4876" width="13.5703125" style="894" customWidth="1"/>
    <col min="4877" max="4877" width="14.28515625" style="894" customWidth="1"/>
    <col min="4878" max="4878" width="13.28515625" style="894" customWidth="1"/>
    <col min="4879" max="4879" width="15.28515625" style="894" customWidth="1"/>
    <col min="4880" max="5120" width="9.140625" style="894"/>
    <col min="5121" max="5121" width="55.85546875" style="894" customWidth="1"/>
    <col min="5122" max="5131" width="12.7109375" style="894" customWidth="1"/>
    <col min="5132" max="5132" width="13.5703125" style="894" customWidth="1"/>
    <col min="5133" max="5133" width="14.28515625" style="894" customWidth="1"/>
    <col min="5134" max="5134" width="13.28515625" style="894" customWidth="1"/>
    <col min="5135" max="5135" width="15.28515625" style="894" customWidth="1"/>
    <col min="5136" max="5376" width="9.140625" style="894"/>
    <col min="5377" max="5377" width="55.85546875" style="894" customWidth="1"/>
    <col min="5378" max="5387" width="12.7109375" style="894" customWidth="1"/>
    <col min="5388" max="5388" width="13.5703125" style="894" customWidth="1"/>
    <col min="5389" max="5389" width="14.28515625" style="894" customWidth="1"/>
    <col min="5390" max="5390" width="13.28515625" style="894" customWidth="1"/>
    <col min="5391" max="5391" width="15.28515625" style="894" customWidth="1"/>
    <col min="5392" max="5632" width="9.140625" style="894"/>
    <col min="5633" max="5633" width="55.85546875" style="894" customWidth="1"/>
    <col min="5634" max="5643" width="12.7109375" style="894" customWidth="1"/>
    <col min="5644" max="5644" width="13.5703125" style="894" customWidth="1"/>
    <col min="5645" max="5645" width="14.28515625" style="894" customWidth="1"/>
    <col min="5646" max="5646" width="13.28515625" style="894" customWidth="1"/>
    <col min="5647" max="5647" width="15.28515625" style="894" customWidth="1"/>
    <col min="5648" max="5888" width="9.140625" style="894"/>
    <col min="5889" max="5889" width="55.85546875" style="894" customWidth="1"/>
    <col min="5890" max="5899" width="12.7109375" style="894" customWidth="1"/>
    <col min="5900" max="5900" width="13.5703125" style="894" customWidth="1"/>
    <col min="5901" max="5901" width="14.28515625" style="894" customWidth="1"/>
    <col min="5902" max="5902" width="13.28515625" style="894" customWidth="1"/>
    <col min="5903" max="5903" width="15.28515625" style="894" customWidth="1"/>
    <col min="5904" max="6144" width="9.140625" style="894"/>
    <col min="6145" max="6145" width="55.85546875" style="894" customWidth="1"/>
    <col min="6146" max="6155" width="12.7109375" style="894" customWidth="1"/>
    <col min="6156" max="6156" width="13.5703125" style="894" customWidth="1"/>
    <col min="6157" max="6157" width="14.28515625" style="894" customWidth="1"/>
    <col min="6158" max="6158" width="13.28515625" style="894" customWidth="1"/>
    <col min="6159" max="6159" width="15.28515625" style="894" customWidth="1"/>
    <col min="6160" max="6400" width="9.140625" style="894"/>
    <col min="6401" max="6401" width="55.85546875" style="894" customWidth="1"/>
    <col min="6402" max="6411" width="12.7109375" style="894" customWidth="1"/>
    <col min="6412" max="6412" width="13.5703125" style="894" customWidth="1"/>
    <col min="6413" max="6413" width="14.28515625" style="894" customWidth="1"/>
    <col min="6414" max="6414" width="13.28515625" style="894" customWidth="1"/>
    <col min="6415" max="6415" width="15.28515625" style="894" customWidth="1"/>
    <col min="6416" max="6656" width="9.140625" style="894"/>
    <col min="6657" max="6657" width="55.85546875" style="894" customWidth="1"/>
    <col min="6658" max="6667" width="12.7109375" style="894" customWidth="1"/>
    <col min="6668" max="6668" width="13.5703125" style="894" customWidth="1"/>
    <col min="6669" max="6669" width="14.28515625" style="894" customWidth="1"/>
    <col min="6670" max="6670" width="13.28515625" style="894" customWidth="1"/>
    <col min="6671" max="6671" width="15.28515625" style="894" customWidth="1"/>
    <col min="6672" max="6912" width="9.140625" style="894"/>
    <col min="6913" max="6913" width="55.85546875" style="894" customWidth="1"/>
    <col min="6914" max="6923" width="12.7109375" style="894" customWidth="1"/>
    <col min="6924" max="6924" width="13.5703125" style="894" customWidth="1"/>
    <col min="6925" max="6925" width="14.28515625" style="894" customWidth="1"/>
    <col min="6926" max="6926" width="13.28515625" style="894" customWidth="1"/>
    <col min="6927" max="6927" width="15.28515625" style="894" customWidth="1"/>
    <col min="6928" max="7168" width="9.140625" style="894"/>
    <col min="7169" max="7169" width="55.85546875" style="894" customWidth="1"/>
    <col min="7170" max="7179" width="12.7109375" style="894" customWidth="1"/>
    <col min="7180" max="7180" width="13.5703125" style="894" customWidth="1"/>
    <col min="7181" max="7181" width="14.28515625" style="894" customWidth="1"/>
    <col min="7182" max="7182" width="13.28515625" style="894" customWidth="1"/>
    <col min="7183" max="7183" width="15.28515625" style="894" customWidth="1"/>
    <col min="7184" max="7424" width="9.140625" style="894"/>
    <col min="7425" max="7425" width="55.85546875" style="894" customWidth="1"/>
    <col min="7426" max="7435" width="12.7109375" style="894" customWidth="1"/>
    <col min="7436" max="7436" width="13.5703125" style="894" customWidth="1"/>
    <col min="7437" max="7437" width="14.28515625" style="894" customWidth="1"/>
    <col min="7438" max="7438" width="13.28515625" style="894" customWidth="1"/>
    <col min="7439" max="7439" width="15.28515625" style="894" customWidth="1"/>
    <col min="7440" max="7680" width="9.140625" style="894"/>
    <col min="7681" max="7681" width="55.85546875" style="894" customWidth="1"/>
    <col min="7682" max="7691" width="12.7109375" style="894" customWidth="1"/>
    <col min="7692" max="7692" width="13.5703125" style="894" customWidth="1"/>
    <col min="7693" max="7693" width="14.28515625" style="894" customWidth="1"/>
    <col min="7694" max="7694" width="13.28515625" style="894" customWidth="1"/>
    <col min="7695" max="7695" width="15.28515625" style="894" customWidth="1"/>
    <col min="7696" max="7936" width="9.140625" style="894"/>
    <col min="7937" max="7937" width="55.85546875" style="894" customWidth="1"/>
    <col min="7938" max="7947" width="12.7109375" style="894" customWidth="1"/>
    <col min="7948" max="7948" width="13.5703125" style="894" customWidth="1"/>
    <col min="7949" max="7949" width="14.28515625" style="894" customWidth="1"/>
    <col min="7950" max="7950" width="13.28515625" style="894" customWidth="1"/>
    <col min="7951" max="7951" width="15.28515625" style="894" customWidth="1"/>
    <col min="7952" max="8192" width="9.140625" style="894"/>
    <col min="8193" max="8193" width="55.85546875" style="894" customWidth="1"/>
    <col min="8194" max="8203" width="12.7109375" style="894" customWidth="1"/>
    <col min="8204" max="8204" width="13.5703125" style="894" customWidth="1"/>
    <col min="8205" max="8205" width="14.28515625" style="894" customWidth="1"/>
    <col min="8206" max="8206" width="13.28515625" style="894" customWidth="1"/>
    <col min="8207" max="8207" width="15.28515625" style="894" customWidth="1"/>
    <col min="8208" max="8448" width="9.140625" style="894"/>
    <col min="8449" max="8449" width="55.85546875" style="894" customWidth="1"/>
    <col min="8450" max="8459" width="12.7109375" style="894" customWidth="1"/>
    <col min="8460" max="8460" width="13.5703125" style="894" customWidth="1"/>
    <col min="8461" max="8461" width="14.28515625" style="894" customWidth="1"/>
    <col min="8462" max="8462" width="13.28515625" style="894" customWidth="1"/>
    <col min="8463" max="8463" width="15.28515625" style="894" customWidth="1"/>
    <col min="8464" max="8704" width="9.140625" style="894"/>
    <col min="8705" max="8705" width="55.85546875" style="894" customWidth="1"/>
    <col min="8706" max="8715" width="12.7109375" style="894" customWidth="1"/>
    <col min="8716" max="8716" width="13.5703125" style="894" customWidth="1"/>
    <col min="8717" max="8717" width="14.28515625" style="894" customWidth="1"/>
    <col min="8718" max="8718" width="13.28515625" style="894" customWidth="1"/>
    <col min="8719" max="8719" width="15.28515625" style="894" customWidth="1"/>
    <col min="8720" max="8960" width="9.140625" style="894"/>
    <col min="8961" max="8961" width="55.85546875" style="894" customWidth="1"/>
    <col min="8962" max="8971" width="12.7109375" style="894" customWidth="1"/>
    <col min="8972" max="8972" width="13.5703125" style="894" customWidth="1"/>
    <col min="8973" max="8973" width="14.28515625" style="894" customWidth="1"/>
    <col min="8974" max="8974" width="13.28515625" style="894" customWidth="1"/>
    <col min="8975" max="8975" width="15.28515625" style="894" customWidth="1"/>
    <col min="8976" max="9216" width="9.140625" style="894"/>
    <col min="9217" max="9217" width="55.85546875" style="894" customWidth="1"/>
    <col min="9218" max="9227" width="12.7109375" style="894" customWidth="1"/>
    <col min="9228" max="9228" width="13.5703125" style="894" customWidth="1"/>
    <col min="9229" max="9229" width="14.28515625" style="894" customWidth="1"/>
    <col min="9230" max="9230" width="13.28515625" style="894" customWidth="1"/>
    <col min="9231" max="9231" width="15.28515625" style="894" customWidth="1"/>
    <col min="9232" max="9472" width="9.140625" style="894"/>
    <col min="9473" max="9473" width="55.85546875" style="894" customWidth="1"/>
    <col min="9474" max="9483" width="12.7109375" style="894" customWidth="1"/>
    <col min="9484" max="9484" width="13.5703125" style="894" customWidth="1"/>
    <col min="9485" max="9485" width="14.28515625" style="894" customWidth="1"/>
    <col min="9486" max="9486" width="13.28515625" style="894" customWidth="1"/>
    <col min="9487" max="9487" width="15.28515625" style="894" customWidth="1"/>
    <col min="9488" max="9728" width="9.140625" style="894"/>
    <col min="9729" max="9729" width="55.85546875" style="894" customWidth="1"/>
    <col min="9730" max="9739" width="12.7109375" style="894" customWidth="1"/>
    <col min="9740" max="9740" width="13.5703125" style="894" customWidth="1"/>
    <col min="9741" max="9741" width="14.28515625" style="894" customWidth="1"/>
    <col min="9742" max="9742" width="13.28515625" style="894" customWidth="1"/>
    <col min="9743" max="9743" width="15.28515625" style="894" customWidth="1"/>
    <col min="9744" max="9984" width="9.140625" style="894"/>
    <col min="9985" max="9985" width="55.85546875" style="894" customWidth="1"/>
    <col min="9986" max="9995" width="12.7109375" style="894" customWidth="1"/>
    <col min="9996" max="9996" width="13.5703125" style="894" customWidth="1"/>
    <col min="9997" max="9997" width="14.28515625" style="894" customWidth="1"/>
    <col min="9998" max="9998" width="13.28515625" style="894" customWidth="1"/>
    <col min="9999" max="9999" width="15.28515625" style="894" customWidth="1"/>
    <col min="10000" max="10240" width="9.140625" style="894"/>
    <col min="10241" max="10241" width="55.85546875" style="894" customWidth="1"/>
    <col min="10242" max="10251" width="12.7109375" style="894" customWidth="1"/>
    <col min="10252" max="10252" width="13.5703125" style="894" customWidth="1"/>
    <col min="10253" max="10253" width="14.28515625" style="894" customWidth="1"/>
    <col min="10254" max="10254" width="13.28515625" style="894" customWidth="1"/>
    <col min="10255" max="10255" width="15.28515625" style="894" customWidth="1"/>
    <col min="10256" max="10496" width="9.140625" style="894"/>
    <col min="10497" max="10497" width="55.85546875" style="894" customWidth="1"/>
    <col min="10498" max="10507" width="12.7109375" style="894" customWidth="1"/>
    <col min="10508" max="10508" width="13.5703125" style="894" customWidth="1"/>
    <col min="10509" max="10509" width="14.28515625" style="894" customWidth="1"/>
    <col min="10510" max="10510" width="13.28515625" style="894" customWidth="1"/>
    <col min="10511" max="10511" width="15.28515625" style="894" customWidth="1"/>
    <col min="10512" max="10752" width="9.140625" style="894"/>
    <col min="10753" max="10753" width="55.85546875" style="894" customWidth="1"/>
    <col min="10754" max="10763" width="12.7109375" style="894" customWidth="1"/>
    <col min="10764" max="10764" width="13.5703125" style="894" customWidth="1"/>
    <col min="10765" max="10765" width="14.28515625" style="894" customWidth="1"/>
    <col min="10766" max="10766" width="13.28515625" style="894" customWidth="1"/>
    <col min="10767" max="10767" width="15.28515625" style="894" customWidth="1"/>
    <col min="10768" max="11008" width="9.140625" style="894"/>
    <col min="11009" max="11009" width="55.85546875" style="894" customWidth="1"/>
    <col min="11010" max="11019" width="12.7109375" style="894" customWidth="1"/>
    <col min="11020" max="11020" width="13.5703125" style="894" customWidth="1"/>
    <col min="11021" max="11021" width="14.28515625" style="894" customWidth="1"/>
    <col min="11022" max="11022" width="13.28515625" style="894" customWidth="1"/>
    <col min="11023" max="11023" width="15.28515625" style="894" customWidth="1"/>
    <col min="11024" max="11264" width="9.140625" style="894"/>
    <col min="11265" max="11265" width="55.85546875" style="894" customWidth="1"/>
    <col min="11266" max="11275" width="12.7109375" style="894" customWidth="1"/>
    <col min="11276" max="11276" width="13.5703125" style="894" customWidth="1"/>
    <col min="11277" max="11277" width="14.28515625" style="894" customWidth="1"/>
    <col min="11278" max="11278" width="13.28515625" style="894" customWidth="1"/>
    <col min="11279" max="11279" width="15.28515625" style="894" customWidth="1"/>
    <col min="11280" max="11520" width="9.140625" style="894"/>
    <col min="11521" max="11521" width="55.85546875" style="894" customWidth="1"/>
    <col min="11522" max="11531" width="12.7109375" style="894" customWidth="1"/>
    <col min="11532" max="11532" width="13.5703125" style="894" customWidth="1"/>
    <col min="11533" max="11533" width="14.28515625" style="894" customWidth="1"/>
    <col min="11534" max="11534" width="13.28515625" style="894" customWidth="1"/>
    <col min="11535" max="11535" width="15.28515625" style="894" customWidth="1"/>
    <col min="11536" max="11776" width="9.140625" style="894"/>
    <col min="11777" max="11777" width="55.85546875" style="894" customWidth="1"/>
    <col min="11778" max="11787" width="12.7109375" style="894" customWidth="1"/>
    <col min="11788" max="11788" width="13.5703125" style="894" customWidth="1"/>
    <col min="11789" max="11789" width="14.28515625" style="894" customWidth="1"/>
    <col min="11790" max="11790" width="13.28515625" style="894" customWidth="1"/>
    <col min="11791" max="11791" width="15.28515625" style="894" customWidth="1"/>
    <col min="11792" max="12032" width="9.140625" style="894"/>
    <col min="12033" max="12033" width="55.85546875" style="894" customWidth="1"/>
    <col min="12034" max="12043" width="12.7109375" style="894" customWidth="1"/>
    <col min="12044" max="12044" width="13.5703125" style="894" customWidth="1"/>
    <col min="12045" max="12045" width="14.28515625" style="894" customWidth="1"/>
    <col min="12046" max="12046" width="13.28515625" style="894" customWidth="1"/>
    <col min="12047" max="12047" width="15.28515625" style="894" customWidth="1"/>
    <col min="12048" max="12288" width="9.140625" style="894"/>
    <col min="12289" max="12289" width="55.85546875" style="894" customWidth="1"/>
    <col min="12290" max="12299" width="12.7109375" style="894" customWidth="1"/>
    <col min="12300" max="12300" width="13.5703125" style="894" customWidth="1"/>
    <col min="12301" max="12301" width="14.28515625" style="894" customWidth="1"/>
    <col min="12302" max="12302" width="13.28515625" style="894" customWidth="1"/>
    <col min="12303" max="12303" width="15.28515625" style="894" customWidth="1"/>
    <col min="12304" max="12544" width="9.140625" style="894"/>
    <col min="12545" max="12545" width="55.85546875" style="894" customWidth="1"/>
    <col min="12546" max="12555" width="12.7109375" style="894" customWidth="1"/>
    <col min="12556" max="12556" width="13.5703125" style="894" customWidth="1"/>
    <col min="12557" max="12557" width="14.28515625" style="894" customWidth="1"/>
    <col min="12558" max="12558" width="13.28515625" style="894" customWidth="1"/>
    <col min="12559" max="12559" width="15.28515625" style="894" customWidth="1"/>
    <col min="12560" max="12800" width="9.140625" style="894"/>
    <col min="12801" max="12801" width="55.85546875" style="894" customWidth="1"/>
    <col min="12802" max="12811" width="12.7109375" style="894" customWidth="1"/>
    <col min="12812" max="12812" width="13.5703125" style="894" customWidth="1"/>
    <col min="12813" max="12813" width="14.28515625" style="894" customWidth="1"/>
    <col min="12814" max="12814" width="13.28515625" style="894" customWidth="1"/>
    <col min="12815" max="12815" width="15.28515625" style="894" customWidth="1"/>
    <col min="12816" max="13056" width="9.140625" style="894"/>
    <col min="13057" max="13057" width="55.85546875" style="894" customWidth="1"/>
    <col min="13058" max="13067" width="12.7109375" style="894" customWidth="1"/>
    <col min="13068" max="13068" width="13.5703125" style="894" customWidth="1"/>
    <col min="13069" max="13069" width="14.28515625" style="894" customWidth="1"/>
    <col min="13070" max="13070" width="13.28515625" style="894" customWidth="1"/>
    <col min="13071" max="13071" width="15.28515625" style="894" customWidth="1"/>
    <col min="13072" max="13312" width="9.140625" style="894"/>
    <col min="13313" max="13313" width="55.85546875" style="894" customWidth="1"/>
    <col min="13314" max="13323" width="12.7109375" style="894" customWidth="1"/>
    <col min="13324" max="13324" width="13.5703125" style="894" customWidth="1"/>
    <col min="13325" max="13325" width="14.28515625" style="894" customWidth="1"/>
    <col min="13326" max="13326" width="13.28515625" style="894" customWidth="1"/>
    <col min="13327" max="13327" width="15.28515625" style="894" customWidth="1"/>
    <col min="13328" max="13568" width="9.140625" style="894"/>
    <col min="13569" max="13569" width="55.85546875" style="894" customWidth="1"/>
    <col min="13570" max="13579" width="12.7109375" style="894" customWidth="1"/>
    <col min="13580" max="13580" width="13.5703125" style="894" customWidth="1"/>
    <col min="13581" max="13581" width="14.28515625" style="894" customWidth="1"/>
    <col min="13582" max="13582" width="13.28515625" style="894" customWidth="1"/>
    <col min="13583" max="13583" width="15.28515625" style="894" customWidth="1"/>
    <col min="13584" max="13824" width="9.140625" style="894"/>
    <col min="13825" max="13825" width="55.85546875" style="894" customWidth="1"/>
    <col min="13826" max="13835" width="12.7109375" style="894" customWidth="1"/>
    <col min="13836" max="13836" width="13.5703125" style="894" customWidth="1"/>
    <col min="13837" max="13837" width="14.28515625" style="894" customWidth="1"/>
    <col min="13838" max="13838" width="13.28515625" style="894" customWidth="1"/>
    <col min="13839" max="13839" width="15.28515625" style="894" customWidth="1"/>
    <col min="13840" max="14080" width="9.140625" style="894"/>
    <col min="14081" max="14081" width="55.85546875" style="894" customWidth="1"/>
    <col min="14082" max="14091" width="12.7109375" style="894" customWidth="1"/>
    <col min="14092" max="14092" width="13.5703125" style="894" customWidth="1"/>
    <col min="14093" max="14093" width="14.28515625" style="894" customWidth="1"/>
    <col min="14094" max="14094" width="13.28515625" style="894" customWidth="1"/>
    <col min="14095" max="14095" width="15.28515625" style="894" customWidth="1"/>
    <col min="14096" max="14336" width="9.140625" style="894"/>
    <col min="14337" max="14337" width="55.85546875" style="894" customWidth="1"/>
    <col min="14338" max="14347" width="12.7109375" style="894" customWidth="1"/>
    <col min="14348" max="14348" width="13.5703125" style="894" customWidth="1"/>
    <col min="14349" max="14349" width="14.28515625" style="894" customWidth="1"/>
    <col min="14350" max="14350" width="13.28515625" style="894" customWidth="1"/>
    <col min="14351" max="14351" width="15.28515625" style="894" customWidth="1"/>
    <col min="14352" max="14592" width="9.140625" style="894"/>
    <col min="14593" max="14593" width="55.85546875" style="894" customWidth="1"/>
    <col min="14594" max="14603" width="12.7109375" style="894" customWidth="1"/>
    <col min="14604" max="14604" width="13.5703125" style="894" customWidth="1"/>
    <col min="14605" max="14605" width="14.28515625" style="894" customWidth="1"/>
    <col min="14606" max="14606" width="13.28515625" style="894" customWidth="1"/>
    <col min="14607" max="14607" width="15.28515625" style="894" customWidth="1"/>
    <col min="14608" max="14848" width="9.140625" style="894"/>
    <col min="14849" max="14849" width="55.85546875" style="894" customWidth="1"/>
    <col min="14850" max="14859" width="12.7109375" style="894" customWidth="1"/>
    <col min="14860" max="14860" width="13.5703125" style="894" customWidth="1"/>
    <col min="14861" max="14861" width="14.28515625" style="894" customWidth="1"/>
    <col min="14862" max="14862" width="13.28515625" style="894" customWidth="1"/>
    <col min="14863" max="14863" width="15.28515625" style="894" customWidth="1"/>
    <col min="14864" max="15104" width="9.140625" style="894"/>
    <col min="15105" max="15105" width="55.85546875" style="894" customWidth="1"/>
    <col min="15106" max="15115" width="12.7109375" style="894" customWidth="1"/>
    <col min="15116" max="15116" width="13.5703125" style="894" customWidth="1"/>
    <col min="15117" max="15117" width="14.28515625" style="894" customWidth="1"/>
    <col min="15118" max="15118" width="13.28515625" style="894" customWidth="1"/>
    <col min="15119" max="15119" width="15.28515625" style="894" customWidth="1"/>
    <col min="15120" max="15360" width="9.140625" style="894"/>
    <col min="15361" max="15361" width="55.85546875" style="894" customWidth="1"/>
    <col min="15362" max="15371" width="12.7109375" style="894" customWidth="1"/>
    <col min="15372" max="15372" width="13.5703125" style="894" customWidth="1"/>
    <col min="15373" max="15373" width="14.28515625" style="894" customWidth="1"/>
    <col min="15374" max="15374" width="13.28515625" style="894" customWidth="1"/>
    <col min="15375" max="15375" width="15.28515625" style="894" customWidth="1"/>
    <col min="15376" max="15616" width="9.140625" style="894"/>
    <col min="15617" max="15617" width="55.85546875" style="894" customWidth="1"/>
    <col min="15618" max="15627" width="12.7109375" style="894" customWidth="1"/>
    <col min="15628" max="15628" width="13.5703125" style="894" customWidth="1"/>
    <col min="15629" max="15629" width="14.28515625" style="894" customWidth="1"/>
    <col min="15630" max="15630" width="13.28515625" style="894" customWidth="1"/>
    <col min="15631" max="15631" width="15.28515625" style="894" customWidth="1"/>
    <col min="15632" max="15872" width="9.140625" style="894"/>
    <col min="15873" max="15873" width="55.85546875" style="894" customWidth="1"/>
    <col min="15874" max="15883" width="12.7109375" style="894" customWidth="1"/>
    <col min="15884" max="15884" width="13.5703125" style="894" customWidth="1"/>
    <col min="15885" max="15885" width="14.28515625" style="894" customWidth="1"/>
    <col min="15886" max="15886" width="13.28515625" style="894" customWidth="1"/>
    <col min="15887" max="15887" width="15.28515625" style="894" customWidth="1"/>
    <col min="15888" max="16128" width="9.140625" style="894"/>
    <col min="16129" max="16129" width="55.85546875" style="894" customWidth="1"/>
    <col min="16130" max="16139" width="12.7109375" style="894" customWidth="1"/>
    <col min="16140" max="16140" width="13.5703125" style="894" customWidth="1"/>
    <col min="16141" max="16141" width="14.28515625" style="894" customWidth="1"/>
    <col min="16142" max="16142" width="13.28515625" style="894" customWidth="1"/>
    <col min="16143" max="16143" width="15.28515625" style="894" customWidth="1"/>
    <col min="16144" max="16384" width="9.140625" style="894"/>
  </cols>
  <sheetData>
    <row r="1" spans="1:15" ht="15" customHeight="1">
      <c r="A1" s="1261" t="s">
        <v>2576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</row>
    <row r="2" spans="1:15" ht="13.5" thickBot="1">
      <c r="A2" s="1262" t="s">
        <v>2577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</row>
    <row r="3" spans="1:15" s="900" customFormat="1" ht="13.5" thickBot="1">
      <c r="A3" s="895"/>
      <c r="B3" s="896">
        <v>2004</v>
      </c>
      <c r="C3" s="896">
        <v>2005</v>
      </c>
      <c r="D3" s="897">
        <v>2006</v>
      </c>
      <c r="E3" s="896">
        <v>2007</v>
      </c>
      <c r="F3" s="896">
        <v>2008</v>
      </c>
      <c r="G3" s="896">
        <v>2009</v>
      </c>
      <c r="H3" s="898">
        <v>2010</v>
      </c>
      <c r="I3" s="898">
        <v>2011</v>
      </c>
      <c r="J3" s="898">
        <v>2012</v>
      </c>
      <c r="K3" s="898">
        <v>2013</v>
      </c>
      <c r="L3" s="898">
        <v>2014</v>
      </c>
      <c r="M3" s="899">
        <v>2015</v>
      </c>
      <c r="N3" s="899">
        <v>2016</v>
      </c>
    </row>
    <row r="4" spans="1:15" s="900" customFormat="1">
      <c r="A4" s="901" t="s">
        <v>2578</v>
      </c>
      <c r="B4" s="902">
        <v>1218922.8</v>
      </c>
      <c r="C4" s="902">
        <v>1408697.8</v>
      </c>
      <c r="D4" s="902">
        <v>1736760</v>
      </c>
      <c r="E4" s="902">
        <v>2092794.4</v>
      </c>
      <c r="F4" s="903">
        <v>2442827.2000000002</v>
      </c>
      <c r="G4" s="902">
        <v>2551402.9</v>
      </c>
      <c r="H4" s="902">
        <f>H5+H25</f>
        <v>3197147.8000000003</v>
      </c>
      <c r="I4" s="902">
        <v>3865840.6</v>
      </c>
      <c r="J4" s="904">
        <v>4567661.2</v>
      </c>
      <c r="K4" s="904">
        <v>5474274</v>
      </c>
      <c r="L4" s="904">
        <f>L25+L5</f>
        <v>6332253</v>
      </c>
      <c r="M4" s="905">
        <v>6555820.9000000004</v>
      </c>
      <c r="N4" s="905">
        <v>7974442.1179999998</v>
      </c>
    </row>
    <row r="5" spans="1:15" s="908" customFormat="1">
      <c r="A5" s="906" t="s">
        <v>2579</v>
      </c>
      <c r="B5" s="903">
        <v>418588.6</v>
      </c>
      <c r="C5" s="903">
        <v>489722.6</v>
      </c>
      <c r="D5" s="903">
        <v>592440.9</v>
      </c>
      <c r="E5" s="903">
        <v>689259.5</v>
      </c>
      <c r="F5" s="903">
        <v>819658.8</v>
      </c>
      <c r="G5" s="903">
        <v>929793.4</v>
      </c>
      <c r="H5" s="903">
        <v>1050172.6000000001</v>
      </c>
      <c r="I5" s="903">
        <v>1225896.3999999999</v>
      </c>
      <c r="J5" s="904">
        <v>1417667.2</v>
      </c>
      <c r="K5" s="904">
        <v>1609856.8</v>
      </c>
      <c r="L5" s="904">
        <v>1820822.8</v>
      </c>
      <c r="M5" s="907">
        <v>1886933.5</v>
      </c>
      <c r="N5" s="907">
        <v>2204286.4</v>
      </c>
    </row>
    <row r="6" spans="1:15" ht="25.5">
      <c r="A6" s="909" t="s">
        <v>2580</v>
      </c>
      <c r="B6" s="910">
        <v>73843.399999999994</v>
      </c>
      <c r="C6" s="910">
        <v>85201.9</v>
      </c>
      <c r="D6" s="910">
        <v>113070.7</v>
      </c>
      <c r="E6" s="910">
        <v>130909</v>
      </c>
      <c r="F6" s="910">
        <v>135094.29999999999</v>
      </c>
      <c r="G6" s="910">
        <v>156240.79999999999</v>
      </c>
      <c r="H6" s="910">
        <v>181004</v>
      </c>
      <c r="I6" s="910">
        <v>221189.2</v>
      </c>
      <c r="J6" s="910">
        <v>255165.3</v>
      </c>
      <c r="K6" s="910">
        <v>275628.3</v>
      </c>
      <c r="L6" s="910">
        <v>299374.2</v>
      </c>
      <c r="M6" s="911">
        <v>326659.59999999998</v>
      </c>
      <c r="N6" s="911">
        <v>381077.5</v>
      </c>
      <c r="O6" s="912"/>
    </row>
    <row r="7" spans="1:15">
      <c r="A7" s="909" t="s">
        <v>2581</v>
      </c>
      <c r="B7" s="913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4"/>
      <c r="N7" s="915"/>
    </row>
    <row r="8" spans="1:15" ht="12.75" customHeight="1">
      <c r="A8" s="909" t="s">
        <v>2582</v>
      </c>
      <c r="B8" s="910">
        <v>62033</v>
      </c>
      <c r="C8" s="910">
        <v>72077.8</v>
      </c>
      <c r="D8" s="910">
        <v>99099</v>
      </c>
      <c r="E8" s="910">
        <v>108434.7</v>
      </c>
      <c r="F8" s="910">
        <v>114302.1</v>
      </c>
      <c r="G8" s="910">
        <v>131631.4</v>
      </c>
      <c r="H8" s="910">
        <v>149091.29999999999</v>
      </c>
      <c r="I8" s="910">
        <v>179107.9</v>
      </c>
      <c r="J8" s="910">
        <v>205019.6</v>
      </c>
      <c r="K8" s="910">
        <v>220177.9</v>
      </c>
      <c r="L8" s="910">
        <v>237151.8</v>
      </c>
      <c r="M8" s="916">
        <v>257183.3</v>
      </c>
      <c r="N8" s="916">
        <v>299172.92499999999</v>
      </c>
    </row>
    <row r="9" spans="1:15">
      <c r="A9" s="909" t="s">
        <v>2583</v>
      </c>
      <c r="B9" s="910">
        <v>11810.4</v>
      </c>
      <c r="C9" s="910">
        <v>13124.1</v>
      </c>
      <c r="D9" s="910">
        <v>13971.7</v>
      </c>
      <c r="E9" s="910">
        <v>22474.3</v>
      </c>
      <c r="F9" s="910">
        <v>20792.2</v>
      </c>
      <c r="G9" s="910">
        <v>24609.4</v>
      </c>
      <c r="H9" s="910">
        <v>31912.7</v>
      </c>
      <c r="I9" s="910">
        <v>42081.3</v>
      </c>
      <c r="J9" s="910">
        <v>50145.7</v>
      </c>
      <c r="K9" s="910">
        <v>55450.400000000001</v>
      </c>
      <c r="L9" s="910">
        <v>62222.400000000001</v>
      </c>
      <c r="M9" s="914">
        <v>69476.3</v>
      </c>
      <c r="N9" s="914">
        <v>81904.547999999995</v>
      </c>
      <c r="O9" s="912"/>
    </row>
    <row r="10" spans="1:15">
      <c r="A10" s="917" t="s">
        <v>2584</v>
      </c>
      <c r="B10" s="910">
        <v>8507.6</v>
      </c>
      <c r="C10" s="910">
        <v>9752.7999999999993</v>
      </c>
      <c r="D10" s="910">
        <v>12019</v>
      </c>
      <c r="E10" s="910">
        <v>14700.6</v>
      </c>
      <c r="F10" s="910">
        <v>17465.099999999999</v>
      </c>
      <c r="G10" s="910">
        <v>23122.2</v>
      </c>
      <c r="H10" s="910">
        <v>27736.5</v>
      </c>
      <c r="I10" s="918">
        <v>31804.1</v>
      </c>
      <c r="J10" s="919">
        <v>36068.1</v>
      </c>
      <c r="K10" s="919">
        <v>47649.9</v>
      </c>
      <c r="L10" s="910">
        <v>46034</v>
      </c>
      <c r="M10" s="911">
        <v>48672.3</v>
      </c>
      <c r="N10" s="911">
        <v>51895.936999999998</v>
      </c>
    </row>
    <row r="11" spans="1:15">
      <c r="A11" s="917" t="s">
        <v>2585</v>
      </c>
      <c r="B11" s="910">
        <v>36138</v>
      </c>
      <c r="C11" s="910">
        <v>45008.6</v>
      </c>
      <c r="D11" s="910">
        <v>50125.2</v>
      </c>
      <c r="E11" s="910">
        <v>64371.1</v>
      </c>
      <c r="F11" s="910">
        <v>83418.899999999994</v>
      </c>
      <c r="G11" s="910">
        <v>103117.6</v>
      </c>
      <c r="H11" s="910">
        <v>116044.2</v>
      </c>
      <c r="I11" s="918">
        <v>135223.4</v>
      </c>
      <c r="J11" s="918">
        <v>158368.4</v>
      </c>
      <c r="K11" s="919">
        <v>184847.4</v>
      </c>
      <c r="L11" s="910">
        <v>182402.5</v>
      </c>
      <c r="M11" s="914">
        <v>214513</v>
      </c>
      <c r="N11" s="914">
        <v>253241.07399999999</v>
      </c>
    </row>
    <row r="12" spans="1:15" s="925" customFormat="1">
      <c r="A12" s="920" t="s">
        <v>2586</v>
      </c>
      <c r="B12" s="921">
        <v>42641.8</v>
      </c>
      <c r="C12" s="921">
        <v>53350.8</v>
      </c>
      <c r="D12" s="921">
        <v>67235.5</v>
      </c>
      <c r="E12" s="910">
        <v>69633.7</v>
      </c>
      <c r="F12" s="921">
        <v>68627.199999999997</v>
      </c>
      <c r="G12" s="921">
        <v>70026.7</v>
      </c>
      <c r="H12" s="921">
        <v>93724.2</v>
      </c>
      <c r="I12" s="922">
        <v>106908.02</v>
      </c>
      <c r="J12" s="923">
        <v>131215.4</v>
      </c>
      <c r="K12" s="923">
        <v>162536.20000000001</v>
      </c>
      <c r="L12" s="910">
        <v>222105.8</v>
      </c>
      <c r="M12" s="924">
        <v>186594.6</v>
      </c>
      <c r="N12" s="924">
        <v>207144.405</v>
      </c>
    </row>
    <row r="13" spans="1:15" s="925" customFormat="1">
      <c r="A13" s="909" t="s">
        <v>2587</v>
      </c>
      <c r="B13" s="921">
        <v>11998.1</v>
      </c>
      <c r="C13" s="921">
        <v>14733.3</v>
      </c>
      <c r="D13" s="921">
        <v>17380.8</v>
      </c>
      <c r="E13" s="910">
        <v>18229.2</v>
      </c>
      <c r="F13" s="921">
        <v>22380.400000000001</v>
      </c>
      <c r="G13" s="921">
        <v>21444.2</v>
      </c>
      <c r="H13" s="921">
        <v>24981.9</v>
      </c>
      <c r="I13" s="922">
        <v>27089.8</v>
      </c>
      <c r="J13" s="923">
        <v>36139.1</v>
      </c>
      <c r="K13" s="923">
        <v>35198.400000000001</v>
      </c>
      <c r="L13" s="910">
        <v>54687.1</v>
      </c>
      <c r="M13" s="924">
        <v>45862.2</v>
      </c>
      <c r="N13" s="924">
        <v>33745.1</v>
      </c>
    </row>
    <row r="14" spans="1:15">
      <c r="A14" s="917" t="s">
        <v>2588</v>
      </c>
      <c r="B14" s="910">
        <v>19312.5</v>
      </c>
      <c r="C14" s="910">
        <v>21171.200000000001</v>
      </c>
      <c r="D14" s="910">
        <v>25210</v>
      </c>
      <c r="E14" s="910">
        <v>25422.3</v>
      </c>
      <c r="F14" s="910">
        <v>34687.599999999999</v>
      </c>
      <c r="G14" s="910">
        <v>37814.6</v>
      </c>
      <c r="H14" s="910">
        <v>38026.9</v>
      </c>
      <c r="I14" s="918">
        <v>42498.8</v>
      </c>
      <c r="J14" s="919">
        <v>43463.3</v>
      </c>
      <c r="K14" s="919">
        <v>53662.400000000001</v>
      </c>
      <c r="L14" s="910">
        <v>55437.1</v>
      </c>
      <c r="M14" s="914">
        <v>59485.599999999999</v>
      </c>
      <c r="N14" s="914">
        <v>63057.366999999998</v>
      </c>
      <c r="O14" s="926"/>
    </row>
    <row r="15" spans="1:15">
      <c r="A15" s="917" t="s">
        <v>2589</v>
      </c>
      <c r="B15" s="910">
        <v>20383.599999999999</v>
      </c>
      <c r="C15" s="910">
        <v>25533.3</v>
      </c>
      <c r="D15" s="910">
        <v>27980.7</v>
      </c>
      <c r="E15" s="910">
        <v>32222.7</v>
      </c>
      <c r="F15" s="910">
        <v>37868.800000000003</v>
      </c>
      <c r="G15" s="910">
        <v>46066.8</v>
      </c>
      <c r="H15" s="910">
        <v>58864.4</v>
      </c>
      <c r="I15" s="918">
        <v>68790.8</v>
      </c>
      <c r="J15" s="919">
        <v>85526.1</v>
      </c>
      <c r="K15" s="919">
        <v>98994.6</v>
      </c>
      <c r="L15" s="910">
        <v>109724.3</v>
      </c>
      <c r="M15" s="924">
        <v>101272</v>
      </c>
      <c r="N15" s="924">
        <v>111563.378</v>
      </c>
    </row>
    <row r="16" spans="1:15" s="925" customFormat="1">
      <c r="A16" s="920" t="s">
        <v>2590</v>
      </c>
      <c r="B16" s="921">
        <v>26920.9</v>
      </c>
      <c r="C16" s="921">
        <v>33319.599999999999</v>
      </c>
      <c r="D16" s="921">
        <v>47064.7</v>
      </c>
      <c r="E16" s="921">
        <v>55868.1</v>
      </c>
      <c r="F16" s="921">
        <v>49907.5</v>
      </c>
      <c r="G16" s="921">
        <v>74424.800000000003</v>
      </c>
      <c r="H16" s="921">
        <v>83637.3</v>
      </c>
      <c r="I16" s="922">
        <v>81792.600000000006</v>
      </c>
      <c r="J16" s="923">
        <v>87909.8</v>
      </c>
      <c r="K16" s="923">
        <v>106559</v>
      </c>
      <c r="L16" s="910">
        <v>117128.1</v>
      </c>
      <c r="M16" s="914">
        <v>117375.6</v>
      </c>
      <c r="N16" s="914">
        <v>141895.201</v>
      </c>
    </row>
    <row r="17" spans="1:14">
      <c r="A17" s="917" t="s">
        <v>2591</v>
      </c>
      <c r="B17" s="910">
        <v>64574</v>
      </c>
      <c r="C17" s="910">
        <v>76820.5</v>
      </c>
      <c r="D17" s="910">
        <v>94920.1</v>
      </c>
      <c r="E17" s="910">
        <v>118475.9</v>
      </c>
      <c r="F17" s="910">
        <v>161425</v>
      </c>
      <c r="G17" s="910">
        <v>162851.4</v>
      </c>
      <c r="H17" s="910">
        <v>165627.5</v>
      </c>
      <c r="I17" s="918">
        <v>189137.2</v>
      </c>
      <c r="J17" s="919">
        <v>221943.4</v>
      </c>
      <c r="K17" s="919">
        <v>249994.6</v>
      </c>
      <c r="L17" s="910">
        <v>252366.1</v>
      </c>
      <c r="M17" s="924">
        <v>312574.90000000002</v>
      </c>
      <c r="N17" s="924">
        <v>387176.32900000003</v>
      </c>
    </row>
    <row r="18" spans="1:14">
      <c r="A18" s="917" t="s">
        <v>2592</v>
      </c>
      <c r="B18" s="910">
        <v>18360.400000000001</v>
      </c>
      <c r="C18" s="910">
        <v>22062.2</v>
      </c>
      <c r="D18" s="910">
        <v>28539.8</v>
      </c>
      <c r="E18" s="910">
        <v>37737.300000000003</v>
      </c>
      <c r="F18" s="910">
        <v>50131.199999999997</v>
      </c>
      <c r="G18" s="910">
        <v>47958.5</v>
      </c>
      <c r="H18" s="910">
        <v>51829.599999999999</v>
      </c>
      <c r="I18" s="918">
        <v>62738.400000000001</v>
      </c>
      <c r="J18" s="919">
        <v>65120.9</v>
      </c>
      <c r="K18" s="919">
        <v>82711.42</v>
      </c>
      <c r="L18" s="910">
        <v>61675.6</v>
      </c>
      <c r="M18" s="914">
        <v>87913</v>
      </c>
      <c r="N18" s="914">
        <v>105977.183</v>
      </c>
    </row>
    <row r="19" spans="1:14" hidden="1">
      <c r="A19" s="917" t="s">
        <v>2593</v>
      </c>
      <c r="B19" s="910">
        <v>3407.2</v>
      </c>
      <c r="C19" s="910">
        <v>4810.6000000000004</v>
      </c>
      <c r="D19" s="910">
        <v>8567.2000000000007</v>
      </c>
      <c r="E19" s="910">
        <v>12942.6</v>
      </c>
      <c r="F19" s="910">
        <v>13845.4</v>
      </c>
      <c r="G19" s="910">
        <v>12237.6</v>
      </c>
      <c r="H19" s="910">
        <v>12699.8</v>
      </c>
      <c r="I19" s="918">
        <v>14213.3</v>
      </c>
      <c r="J19" s="919">
        <v>15814.4</v>
      </c>
      <c r="K19" s="919">
        <v>18305.2</v>
      </c>
      <c r="L19" s="910"/>
      <c r="M19" s="914"/>
      <c r="N19" s="915"/>
    </row>
    <row r="20" spans="1:14">
      <c r="A20" s="917" t="s">
        <v>2594</v>
      </c>
      <c r="B20" s="910">
        <v>13401.2</v>
      </c>
      <c r="C20" s="910">
        <v>16314.3</v>
      </c>
      <c r="D20" s="910">
        <v>19924.5</v>
      </c>
      <c r="E20" s="910">
        <v>24658.400000000001</v>
      </c>
      <c r="F20" s="910">
        <v>38011.4</v>
      </c>
      <c r="G20" s="910">
        <v>37806.9</v>
      </c>
      <c r="H20" s="910">
        <v>29502.1</v>
      </c>
      <c r="I20" s="918">
        <v>30508.2</v>
      </c>
      <c r="J20" s="919">
        <v>36056.5</v>
      </c>
      <c r="K20" s="919">
        <v>38755.599999999999</v>
      </c>
      <c r="L20" s="910">
        <v>21962.9</v>
      </c>
      <c r="M20" s="914">
        <v>34531</v>
      </c>
      <c r="N20" s="914">
        <v>45777.360999999997</v>
      </c>
    </row>
    <row r="21" spans="1:14">
      <c r="A21" s="909" t="s">
        <v>2595</v>
      </c>
      <c r="B21" s="910">
        <v>3652.4</v>
      </c>
      <c r="C21" s="910">
        <v>4045.4</v>
      </c>
      <c r="D21" s="910">
        <v>3533.4</v>
      </c>
      <c r="E21" s="910">
        <v>5588</v>
      </c>
      <c r="F21" s="910">
        <v>10198</v>
      </c>
      <c r="G21" s="910">
        <v>11045.1</v>
      </c>
      <c r="H21" s="910">
        <v>6508.5</v>
      </c>
      <c r="I21" s="918">
        <v>4712.8</v>
      </c>
      <c r="J21" s="919">
        <v>5456.3</v>
      </c>
      <c r="K21" s="919">
        <v>4562.5</v>
      </c>
      <c r="L21" s="910">
        <v>5784.6</v>
      </c>
      <c r="M21" s="914">
        <v>11489.7</v>
      </c>
      <c r="N21" s="914">
        <v>12512.775</v>
      </c>
    </row>
    <row r="22" spans="1:14">
      <c r="A22" s="917" t="s">
        <v>2596</v>
      </c>
      <c r="B22" s="910">
        <v>17483.099999999999</v>
      </c>
      <c r="C22" s="910">
        <v>19368</v>
      </c>
      <c r="D22" s="910">
        <v>21816.799999999999</v>
      </c>
      <c r="E22" s="910">
        <v>27485.8</v>
      </c>
      <c r="F22" s="910">
        <v>31736</v>
      </c>
      <c r="G22" s="910">
        <v>33630.9</v>
      </c>
      <c r="H22" s="910">
        <v>35077.9</v>
      </c>
      <c r="I22" s="918">
        <v>33723.599999999999</v>
      </c>
      <c r="J22" s="919">
        <v>42450</v>
      </c>
      <c r="K22" s="919">
        <v>41180</v>
      </c>
      <c r="L22" s="910">
        <v>40879.4</v>
      </c>
      <c r="M22" s="914">
        <v>49735.7</v>
      </c>
      <c r="N22" s="914">
        <v>66128.217999999993</v>
      </c>
    </row>
    <row r="23" spans="1:14">
      <c r="A23" s="917" t="s">
        <v>2597</v>
      </c>
      <c r="B23" s="910">
        <v>15329.4</v>
      </c>
      <c r="C23" s="910">
        <v>19075.900000000001</v>
      </c>
      <c r="D23" s="910">
        <v>24638.9</v>
      </c>
      <c r="E23" s="910">
        <v>28594.400000000001</v>
      </c>
      <c r="F23" s="910">
        <v>41546.400000000001</v>
      </c>
      <c r="G23" s="910">
        <v>43455.199999999997</v>
      </c>
      <c r="H23" s="910">
        <v>49217.8</v>
      </c>
      <c r="I23" s="918">
        <v>62167.199999999997</v>
      </c>
      <c r="J23" s="919">
        <v>78316</v>
      </c>
      <c r="K23" s="919">
        <v>87347.6</v>
      </c>
      <c r="L23" s="910">
        <v>96920.8</v>
      </c>
      <c r="M23" s="914">
        <v>100405.8</v>
      </c>
      <c r="N23" s="914">
        <v>124560.819</v>
      </c>
    </row>
    <row r="24" spans="1:14">
      <c r="A24" s="917" t="s">
        <v>2598</v>
      </c>
      <c r="B24" s="910">
        <v>21636.1</v>
      </c>
      <c r="C24" s="910">
        <v>25357.599999999999</v>
      </c>
      <c r="D24" s="910">
        <v>30056.5</v>
      </c>
      <c r="E24" s="910">
        <v>35023.9</v>
      </c>
      <c r="F24" s="910">
        <v>47720.7</v>
      </c>
      <c r="G24" s="910">
        <v>49130.3</v>
      </c>
      <c r="H24" s="910">
        <v>49561.2</v>
      </c>
      <c r="I24" s="918">
        <v>54795.5</v>
      </c>
      <c r="J24" s="919">
        <v>48905.5</v>
      </c>
      <c r="K24" s="919">
        <v>59655.77</v>
      </c>
      <c r="L24" s="910">
        <v>58798.6</v>
      </c>
      <c r="M24" s="914">
        <v>71205.2</v>
      </c>
      <c r="N24" s="914">
        <v>66446.091</v>
      </c>
    </row>
    <row r="25" spans="1:14" s="908" customFormat="1">
      <c r="A25" s="901" t="s">
        <v>2599</v>
      </c>
      <c r="B25" s="902">
        <v>800334.2</v>
      </c>
      <c r="C25" s="902">
        <v>918975.2</v>
      </c>
      <c r="D25" s="902">
        <v>1144319.1000000001</v>
      </c>
      <c r="E25" s="902">
        <v>1403534.9</v>
      </c>
      <c r="F25" s="903">
        <v>1623168.4</v>
      </c>
      <c r="G25" s="903">
        <v>1621609.5</v>
      </c>
      <c r="H25" s="903">
        <v>2146975.2000000002</v>
      </c>
      <c r="I25" s="903">
        <v>2639944.2000000002</v>
      </c>
      <c r="J25" s="904">
        <v>3149994</v>
      </c>
      <c r="K25" s="904">
        <v>3864417.2</v>
      </c>
      <c r="L25" s="904">
        <v>4511430.2</v>
      </c>
      <c r="M25" s="927">
        <v>4668887.4000000004</v>
      </c>
      <c r="N25" s="927">
        <v>5770155.7659999998</v>
      </c>
    </row>
    <row r="26" spans="1:14" s="933" customFormat="1">
      <c r="A26" s="928" t="s">
        <v>2600</v>
      </c>
      <c r="B26" s="929">
        <v>23580.5</v>
      </c>
      <c r="C26" s="929">
        <v>20775.099999999999</v>
      </c>
      <c r="D26" s="929">
        <v>28629.4</v>
      </c>
      <c r="E26" s="929">
        <v>32778.800000000003</v>
      </c>
      <c r="F26" s="929">
        <v>45269.9</v>
      </c>
      <c r="G26" s="929">
        <v>67202.8</v>
      </c>
      <c r="H26" s="929">
        <v>87690.2</v>
      </c>
      <c r="I26" s="930">
        <v>90440.1</v>
      </c>
      <c r="J26" s="931">
        <v>118698.7</v>
      </c>
      <c r="K26" s="931">
        <v>115335.2</v>
      </c>
      <c r="L26" s="931">
        <v>128482.7</v>
      </c>
      <c r="M26" s="932">
        <v>189350.1</v>
      </c>
      <c r="N26" s="932">
        <v>299218.36800000002</v>
      </c>
    </row>
    <row r="27" spans="1:14" s="933" customFormat="1">
      <c r="A27" s="928" t="s">
        <v>2601</v>
      </c>
      <c r="B27" s="929">
        <v>2546.5</v>
      </c>
      <c r="C27" s="929">
        <v>2989.8</v>
      </c>
      <c r="D27" s="929">
        <v>3545.8</v>
      </c>
      <c r="E27" s="929">
        <v>4920.6000000000004</v>
      </c>
      <c r="F27" s="929">
        <v>7211</v>
      </c>
      <c r="G27" s="929">
        <v>17590.5</v>
      </c>
      <c r="H27" s="929">
        <v>21004.2</v>
      </c>
      <c r="I27" s="930">
        <v>22920.799999999999</v>
      </c>
      <c r="J27" s="931">
        <v>32128.1</v>
      </c>
      <c r="K27" s="931">
        <v>29918</v>
      </c>
      <c r="L27" s="931">
        <v>45528</v>
      </c>
      <c r="M27" s="932">
        <v>70859.399999999994</v>
      </c>
      <c r="N27" s="932">
        <v>105075.63</v>
      </c>
    </row>
    <row r="28" spans="1:14">
      <c r="A28" s="917" t="s">
        <v>2602</v>
      </c>
      <c r="B28" s="910">
        <v>24633.1</v>
      </c>
      <c r="C28" s="910">
        <v>28189.599999999999</v>
      </c>
      <c r="D28" s="910">
        <v>31853.8</v>
      </c>
      <c r="E28" s="910">
        <v>42566.6</v>
      </c>
      <c r="F28" s="910">
        <v>50883.4</v>
      </c>
      <c r="G28" s="910">
        <v>46338.5</v>
      </c>
      <c r="H28" s="910">
        <v>69279.7</v>
      </c>
      <c r="I28" s="918">
        <v>78765.7</v>
      </c>
      <c r="J28" s="919">
        <v>91237.4</v>
      </c>
      <c r="K28" s="919">
        <v>124124.2</v>
      </c>
      <c r="L28" s="919">
        <v>130045.9</v>
      </c>
      <c r="M28" s="914">
        <v>150344.70000000001</v>
      </c>
      <c r="N28" s="914">
        <v>160955.084</v>
      </c>
    </row>
    <row r="29" spans="1:14">
      <c r="A29" s="917" t="s">
        <v>2603</v>
      </c>
      <c r="B29" s="910">
        <v>24584.1</v>
      </c>
      <c r="C29" s="910">
        <v>28357.8</v>
      </c>
      <c r="D29" s="910">
        <v>31127.3</v>
      </c>
      <c r="E29" s="910">
        <v>33011.9</v>
      </c>
      <c r="F29" s="910">
        <v>42144.3</v>
      </c>
      <c r="G29" s="910">
        <v>63572.800000000003</v>
      </c>
      <c r="H29" s="910">
        <v>53686.6</v>
      </c>
      <c r="I29" s="918">
        <v>53457.5</v>
      </c>
      <c r="J29" s="919">
        <v>53942.3</v>
      </c>
      <c r="K29" s="919">
        <v>68109.5</v>
      </c>
      <c r="L29" s="919">
        <v>77424.899999999994</v>
      </c>
      <c r="M29" s="914">
        <v>57640.6</v>
      </c>
      <c r="N29" s="914">
        <v>53354.546000000002</v>
      </c>
    </row>
    <row r="30" spans="1:14">
      <c r="A30" s="917" t="s">
        <v>711</v>
      </c>
      <c r="B30" s="910">
        <v>104547.6</v>
      </c>
      <c r="C30" s="910">
        <v>104285.6</v>
      </c>
      <c r="D30" s="910">
        <v>111767.6</v>
      </c>
      <c r="E30" s="910">
        <v>116865.2</v>
      </c>
      <c r="F30" s="910">
        <v>137299</v>
      </c>
      <c r="G30" s="910">
        <v>123924.8</v>
      </c>
      <c r="H30" s="910">
        <v>200684.6</v>
      </c>
      <c r="I30" s="918">
        <v>243391.4</v>
      </c>
      <c r="J30" s="919">
        <v>295159.7</v>
      </c>
      <c r="K30" s="919">
        <v>422172.4</v>
      </c>
      <c r="L30" s="919">
        <v>557444.4</v>
      </c>
      <c r="M30" s="914">
        <v>510937.59999999998</v>
      </c>
      <c r="N30" s="914">
        <v>573798.47499999998</v>
      </c>
    </row>
    <row r="31" spans="1:14">
      <c r="A31" s="917" t="s">
        <v>2604</v>
      </c>
      <c r="B31" s="910">
        <v>44797.599999999999</v>
      </c>
      <c r="C31" s="910">
        <v>49214.2</v>
      </c>
      <c r="D31" s="910">
        <v>49981.3</v>
      </c>
      <c r="E31" s="910">
        <v>56708.5</v>
      </c>
      <c r="F31" s="910">
        <v>62212</v>
      </c>
      <c r="G31" s="910">
        <v>66774.5</v>
      </c>
      <c r="H31" s="910">
        <v>94006.2</v>
      </c>
      <c r="I31" s="918">
        <v>109200.8</v>
      </c>
      <c r="J31" s="919">
        <v>133875.5</v>
      </c>
      <c r="K31" s="919">
        <v>166018.4</v>
      </c>
      <c r="L31" s="919">
        <v>163564.1</v>
      </c>
      <c r="M31" s="914">
        <v>165642.20000000001</v>
      </c>
      <c r="N31" s="914">
        <v>174305.90299999999</v>
      </c>
    </row>
    <row r="32" spans="1:14">
      <c r="A32" s="917" t="s">
        <v>2605</v>
      </c>
      <c r="B32" s="910">
        <v>4001</v>
      </c>
      <c r="C32" s="910">
        <v>4161</v>
      </c>
      <c r="D32" s="910">
        <v>3411</v>
      </c>
      <c r="E32" s="910">
        <v>5052.6000000000004</v>
      </c>
      <c r="F32" s="910">
        <v>6273.9</v>
      </c>
      <c r="G32" s="910">
        <v>5549.7</v>
      </c>
      <c r="H32" s="910">
        <v>8363.2000000000007</v>
      </c>
      <c r="I32" s="918">
        <v>9153.6</v>
      </c>
      <c r="J32" s="919">
        <v>9710.2000000000007</v>
      </c>
      <c r="K32" s="919">
        <v>15213.1</v>
      </c>
      <c r="L32" s="919">
        <v>24679.200000000001</v>
      </c>
      <c r="M32" s="914">
        <v>23954.799999999999</v>
      </c>
      <c r="N32" s="914">
        <v>26653.300999999999</v>
      </c>
    </row>
    <row r="33" spans="1:15">
      <c r="A33" s="917" t="s">
        <v>712</v>
      </c>
      <c r="B33" s="910">
        <v>18410.599999999999</v>
      </c>
      <c r="C33" s="910">
        <v>19310</v>
      </c>
      <c r="D33" s="910">
        <v>23722.2</v>
      </c>
      <c r="E33" s="910">
        <v>30842.7</v>
      </c>
      <c r="F33" s="910">
        <v>45737.5</v>
      </c>
      <c r="G33" s="910">
        <v>46893.5</v>
      </c>
      <c r="H33" s="910">
        <v>57391</v>
      </c>
      <c r="I33" s="918">
        <v>83571.399999999994</v>
      </c>
      <c r="J33" s="919">
        <v>99495.8</v>
      </c>
      <c r="K33" s="919">
        <v>117572.8</v>
      </c>
      <c r="L33" s="919">
        <v>123962.8</v>
      </c>
      <c r="M33" s="914">
        <v>155631.5</v>
      </c>
      <c r="N33" s="914">
        <v>264749.08399999997</v>
      </c>
    </row>
    <row r="34" spans="1:15" ht="76.5">
      <c r="A34" s="917" t="s">
        <v>2606</v>
      </c>
      <c r="B34" s="910">
        <v>10277.4</v>
      </c>
      <c r="C34" s="910">
        <v>10843.1</v>
      </c>
      <c r="D34" s="910">
        <v>11554.7</v>
      </c>
      <c r="E34" s="910">
        <v>14812</v>
      </c>
      <c r="F34" s="910">
        <v>17799.8</v>
      </c>
      <c r="G34" s="910">
        <v>14476</v>
      </c>
      <c r="H34" s="910">
        <v>26421.7</v>
      </c>
      <c r="I34" s="918">
        <v>32555.8</v>
      </c>
      <c r="J34" s="919">
        <v>36125.199999999997</v>
      </c>
      <c r="K34" s="919">
        <v>40945.599999999999</v>
      </c>
      <c r="L34" s="919">
        <v>39256.800000000003</v>
      </c>
      <c r="M34" s="914">
        <v>61639.1</v>
      </c>
      <c r="N34" s="915">
        <v>89028.96</v>
      </c>
    </row>
    <row r="35" spans="1:15">
      <c r="A35" s="917" t="s">
        <v>2607</v>
      </c>
      <c r="B35" s="910">
        <v>11070.3</v>
      </c>
      <c r="C35" s="910">
        <v>11072.8</v>
      </c>
      <c r="D35" s="910">
        <v>7937.1</v>
      </c>
      <c r="E35" s="910">
        <v>16011.9</v>
      </c>
      <c r="F35" s="910">
        <v>16882.7</v>
      </c>
      <c r="G35" s="910">
        <v>18397.7</v>
      </c>
      <c r="H35" s="910">
        <v>21999</v>
      </c>
      <c r="I35" s="918">
        <v>20834.400000000001</v>
      </c>
      <c r="J35" s="919">
        <v>27062.9</v>
      </c>
      <c r="K35" s="919">
        <v>30459.4</v>
      </c>
      <c r="L35" s="919">
        <v>42477.8</v>
      </c>
      <c r="M35" s="914">
        <v>53772</v>
      </c>
      <c r="N35" s="914">
        <v>62209.415999999997</v>
      </c>
    </row>
    <row r="36" spans="1:15" ht="25.5">
      <c r="A36" s="917" t="s">
        <v>2608</v>
      </c>
      <c r="B36" s="910">
        <v>6667.7</v>
      </c>
      <c r="C36" s="910">
        <v>6598.4</v>
      </c>
      <c r="D36" s="910">
        <v>7097.2</v>
      </c>
      <c r="E36" s="910">
        <v>7116</v>
      </c>
      <c r="F36" s="910">
        <v>7783.3</v>
      </c>
      <c r="G36" s="910">
        <v>19220.5</v>
      </c>
      <c r="H36" s="910">
        <v>23242.6</v>
      </c>
      <c r="I36" s="910">
        <v>22598</v>
      </c>
      <c r="J36" s="910">
        <v>18706.900000000001</v>
      </c>
      <c r="K36" s="910">
        <v>22887.5</v>
      </c>
      <c r="L36" s="919">
        <v>17835.3</v>
      </c>
      <c r="M36" s="914">
        <v>9192.2000000000007</v>
      </c>
      <c r="N36" s="914">
        <v>36394.752999999997</v>
      </c>
    </row>
    <row r="37" spans="1:15">
      <c r="A37" s="917" t="s">
        <v>2609</v>
      </c>
      <c r="B37" s="910">
        <v>40978.699999999997</v>
      </c>
      <c r="C37" s="910">
        <v>57629.7</v>
      </c>
      <c r="D37" s="910">
        <v>78276.2</v>
      </c>
      <c r="E37" s="910">
        <v>87022.6</v>
      </c>
      <c r="F37" s="910">
        <v>89112.6</v>
      </c>
      <c r="G37" s="910">
        <v>70192.7</v>
      </c>
      <c r="H37" s="910">
        <v>98002.7</v>
      </c>
      <c r="I37" s="910">
        <v>131940.70000000001</v>
      </c>
      <c r="J37" s="910">
        <v>152811.29999999999</v>
      </c>
      <c r="K37" s="910">
        <v>187001.60000000001</v>
      </c>
      <c r="L37" s="919">
        <v>190559.8</v>
      </c>
      <c r="M37" s="914">
        <v>188807.4</v>
      </c>
      <c r="N37" s="914">
        <v>315698.83399999997</v>
      </c>
    </row>
    <row r="38" spans="1:15">
      <c r="A38" s="917" t="s">
        <v>2610</v>
      </c>
      <c r="B38" s="910">
        <v>27761.4</v>
      </c>
      <c r="C38" s="910">
        <v>33051.699999999997</v>
      </c>
      <c r="D38" s="910">
        <v>36216.300000000003</v>
      </c>
      <c r="E38" s="910">
        <v>46460</v>
      </c>
      <c r="F38" s="910">
        <v>43924.1</v>
      </c>
      <c r="G38" s="910">
        <v>39675.699999999997</v>
      </c>
      <c r="H38" s="910">
        <v>50958.2</v>
      </c>
      <c r="I38" s="910">
        <v>70570</v>
      </c>
      <c r="J38" s="910">
        <v>91808.8</v>
      </c>
      <c r="K38" s="910">
        <v>78949.3</v>
      </c>
      <c r="L38" s="919">
        <v>110287.7</v>
      </c>
      <c r="M38" s="914">
        <v>99127.8</v>
      </c>
      <c r="N38" s="914">
        <v>89749.966</v>
      </c>
    </row>
    <row r="39" spans="1:15">
      <c r="A39" s="917" t="s">
        <v>2611</v>
      </c>
      <c r="B39" s="910">
        <v>2017</v>
      </c>
      <c r="C39" s="910">
        <v>2317.3000000000002</v>
      </c>
      <c r="D39" s="910">
        <v>4289.2</v>
      </c>
      <c r="E39" s="910">
        <v>5849.9</v>
      </c>
      <c r="F39" s="910">
        <v>7938.4</v>
      </c>
      <c r="G39" s="910">
        <v>3800.6</v>
      </c>
      <c r="H39" s="910">
        <v>5665.1</v>
      </c>
      <c r="I39" s="910">
        <v>5745.7</v>
      </c>
      <c r="J39" s="910">
        <v>5026.1000000000004</v>
      </c>
      <c r="K39" s="910">
        <v>6616.9</v>
      </c>
      <c r="L39" s="919">
        <v>9296.2999999999993</v>
      </c>
      <c r="M39" s="916">
        <v>10634.1</v>
      </c>
      <c r="N39" s="919">
        <v>4589.0820000000003</v>
      </c>
      <c r="O39" s="934"/>
    </row>
    <row r="40" spans="1:15">
      <c r="A40" s="917" t="s">
        <v>2612</v>
      </c>
      <c r="B40" s="910">
        <v>545.1</v>
      </c>
      <c r="C40" s="910">
        <v>307.3</v>
      </c>
      <c r="D40" s="910">
        <v>364.8</v>
      </c>
      <c r="E40" s="910">
        <v>302.8</v>
      </c>
      <c r="F40" s="910">
        <v>708.5</v>
      </c>
      <c r="G40" s="910">
        <v>1041</v>
      </c>
      <c r="H40" s="910">
        <v>1489.9</v>
      </c>
      <c r="I40" s="910">
        <v>2201.3000000000002</v>
      </c>
      <c r="J40" s="910">
        <v>2643.1</v>
      </c>
      <c r="K40" s="910">
        <v>5400</v>
      </c>
      <c r="L40" s="919">
        <v>7536.4</v>
      </c>
      <c r="M40" s="914">
        <v>10085</v>
      </c>
      <c r="N40" s="919">
        <v>3499.0430000000001</v>
      </c>
    </row>
    <row r="41" spans="1:15">
      <c r="A41" s="917" t="s">
        <v>2613</v>
      </c>
      <c r="B41" s="910">
        <v>4334.8999999999996</v>
      </c>
      <c r="C41" s="910">
        <v>4577</v>
      </c>
      <c r="D41" s="910">
        <v>6048.5</v>
      </c>
      <c r="E41" s="910">
        <v>7322.1</v>
      </c>
      <c r="F41" s="910">
        <v>8236.9</v>
      </c>
      <c r="G41" s="910">
        <v>8267.6</v>
      </c>
      <c r="H41" s="910">
        <v>8976.1</v>
      </c>
      <c r="I41" s="910">
        <v>7447.9</v>
      </c>
      <c r="J41" s="910">
        <v>10503.1</v>
      </c>
      <c r="K41" s="910">
        <v>16670.3</v>
      </c>
      <c r="L41" s="919">
        <v>12176</v>
      </c>
      <c r="M41" s="914">
        <v>33549.1</v>
      </c>
      <c r="N41" s="914">
        <v>28121.57</v>
      </c>
    </row>
    <row r="42" spans="1:15">
      <c r="A42" s="917" t="s">
        <v>2614</v>
      </c>
      <c r="B42" s="910">
        <v>13145.7</v>
      </c>
      <c r="C42" s="910">
        <v>13963.7</v>
      </c>
      <c r="D42" s="910">
        <v>15255.6</v>
      </c>
      <c r="E42" s="910">
        <v>15784.8</v>
      </c>
      <c r="F42" s="910">
        <v>19846.900000000001</v>
      </c>
      <c r="G42" s="910">
        <v>21771.7</v>
      </c>
      <c r="H42" s="910">
        <v>32860.6</v>
      </c>
      <c r="I42" s="910">
        <v>37286</v>
      </c>
      <c r="J42" s="910">
        <v>33965.300000000003</v>
      </c>
      <c r="K42" s="910">
        <v>39917.4</v>
      </c>
      <c r="L42" s="919">
        <v>39690.199999999997</v>
      </c>
      <c r="M42" s="914">
        <v>49256.6</v>
      </c>
      <c r="N42" s="914">
        <v>47855.087</v>
      </c>
    </row>
    <row r="43" spans="1:15">
      <c r="A43" s="917" t="s">
        <v>2615</v>
      </c>
      <c r="B43" s="910">
        <v>3376</v>
      </c>
      <c r="C43" s="910">
        <v>3319.8</v>
      </c>
      <c r="D43" s="910">
        <v>2165.1</v>
      </c>
      <c r="E43" s="910">
        <v>3170.5</v>
      </c>
      <c r="F43" s="910">
        <v>3541.1</v>
      </c>
      <c r="G43" s="910">
        <v>3510.3</v>
      </c>
      <c r="H43" s="910">
        <v>6232.4</v>
      </c>
      <c r="I43" s="910">
        <v>5773.9</v>
      </c>
      <c r="J43" s="910">
        <v>5021.8999999999996</v>
      </c>
      <c r="K43" s="910">
        <v>5300.7</v>
      </c>
      <c r="L43" s="919">
        <v>4087.6</v>
      </c>
      <c r="M43" s="914">
        <v>1433.6</v>
      </c>
      <c r="N43" s="914">
        <v>3722.1039999999998</v>
      </c>
    </row>
    <row r="44" spans="1:15">
      <c r="A44" s="917" t="s">
        <v>2616</v>
      </c>
      <c r="B44" s="910">
        <v>9465.4</v>
      </c>
      <c r="C44" s="910">
        <v>10357.200000000001</v>
      </c>
      <c r="D44" s="910">
        <v>11699.6</v>
      </c>
      <c r="E44" s="910">
        <v>14270.1</v>
      </c>
      <c r="F44" s="910">
        <v>17238.599999999999</v>
      </c>
      <c r="G44" s="910">
        <v>19777.400000000001</v>
      </c>
      <c r="H44" s="910">
        <v>24426</v>
      </c>
      <c r="I44" s="910">
        <v>24954.799999999999</v>
      </c>
      <c r="J44" s="910">
        <v>25653.4</v>
      </c>
      <c r="K44" s="910">
        <v>34391.5</v>
      </c>
      <c r="L44" s="919">
        <v>41907.699999999997</v>
      </c>
      <c r="M44" s="914">
        <v>35516.199999999997</v>
      </c>
      <c r="N44" s="914">
        <v>53571.061000000002</v>
      </c>
    </row>
    <row r="45" spans="1:15">
      <c r="A45" s="917" t="s">
        <v>2617</v>
      </c>
      <c r="B45" s="910">
        <v>16549.400000000001</v>
      </c>
      <c r="C45" s="910">
        <v>24982.5</v>
      </c>
      <c r="D45" s="910">
        <v>44714.400000000001</v>
      </c>
      <c r="E45" s="910">
        <v>48101.9</v>
      </c>
      <c r="F45" s="910">
        <v>67769.600000000006</v>
      </c>
      <c r="G45" s="910">
        <v>76147.199999999997</v>
      </c>
      <c r="H45" s="910">
        <v>97100.3</v>
      </c>
      <c r="I45" s="910">
        <v>122215.7</v>
      </c>
      <c r="J45" s="910">
        <v>120435.3</v>
      </c>
      <c r="K45" s="910">
        <v>140370.5</v>
      </c>
      <c r="L45" s="919">
        <v>189605.7</v>
      </c>
      <c r="M45" s="914">
        <v>284993.5</v>
      </c>
      <c r="N45" s="914">
        <v>369596.321</v>
      </c>
    </row>
    <row r="46" spans="1:15">
      <c r="A46" s="917" t="s">
        <v>2618</v>
      </c>
      <c r="B46" s="910">
        <v>3181.5</v>
      </c>
      <c r="C46" s="910">
        <v>3620.7</v>
      </c>
      <c r="D46" s="910">
        <v>4016.1</v>
      </c>
      <c r="E46" s="910">
        <v>6294.4</v>
      </c>
      <c r="F46" s="910">
        <v>9971.2999999999993</v>
      </c>
      <c r="G46" s="910">
        <v>17106.599999999999</v>
      </c>
      <c r="H46" s="910">
        <v>13600.3</v>
      </c>
      <c r="I46" s="910">
        <v>13704.6</v>
      </c>
      <c r="J46" s="910">
        <v>13417.2</v>
      </c>
      <c r="K46" s="910">
        <v>19354.7</v>
      </c>
      <c r="L46" s="919">
        <v>22823.599999999999</v>
      </c>
      <c r="M46" s="914">
        <v>14305.3</v>
      </c>
      <c r="N46" s="914">
        <v>12746.612999999999</v>
      </c>
    </row>
    <row r="47" spans="1:15">
      <c r="A47" s="917" t="s">
        <v>2619</v>
      </c>
      <c r="B47" s="910">
        <v>2716.1</v>
      </c>
      <c r="C47" s="910">
        <v>3487.1</v>
      </c>
      <c r="D47" s="910">
        <v>5765.7</v>
      </c>
      <c r="E47" s="910">
        <v>5688.2</v>
      </c>
      <c r="F47" s="910">
        <v>7752.4</v>
      </c>
      <c r="G47" s="910">
        <v>6984</v>
      </c>
      <c r="H47" s="910">
        <v>7844.2</v>
      </c>
      <c r="I47" s="910">
        <v>8943.6</v>
      </c>
      <c r="J47" s="910">
        <v>8508.1</v>
      </c>
      <c r="K47" s="910">
        <v>9416.1</v>
      </c>
      <c r="L47" s="919">
        <v>12055.3</v>
      </c>
      <c r="M47" s="914">
        <v>3381.3</v>
      </c>
      <c r="N47" s="914">
        <v>3579.4009999999998</v>
      </c>
    </row>
    <row r="48" spans="1:15">
      <c r="A48" s="917" t="s">
        <v>2620</v>
      </c>
      <c r="B48" s="910">
        <v>12190.9</v>
      </c>
      <c r="C48" s="910">
        <v>12875.6</v>
      </c>
      <c r="D48" s="910">
        <v>12811.2</v>
      </c>
      <c r="E48" s="910">
        <v>16905</v>
      </c>
      <c r="F48" s="910">
        <v>20743.2</v>
      </c>
      <c r="G48" s="910">
        <v>21050.1</v>
      </c>
      <c r="H48" s="910">
        <v>26784.400000000001</v>
      </c>
      <c r="I48" s="910">
        <v>31820.7</v>
      </c>
      <c r="J48" s="910">
        <v>39136.9</v>
      </c>
      <c r="K48" s="910">
        <v>48022.8</v>
      </c>
      <c r="L48" s="919">
        <v>64461.3</v>
      </c>
      <c r="M48" s="914">
        <v>89970.3</v>
      </c>
      <c r="N48" s="914">
        <v>70369.391000000003</v>
      </c>
    </row>
    <row r="49" spans="1:14" ht="25.5">
      <c r="A49" s="917" t="s">
        <v>2621</v>
      </c>
      <c r="B49" s="910">
        <v>37690.400000000001</v>
      </c>
      <c r="C49" s="910">
        <v>31161.4</v>
      </c>
      <c r="D49" s="910">
        <v>53793.7</v>
      </c>
      <c r="E49" s="910">
        <v>70538.7</v>
      </c>
      <c r="F49" s="910">
        <v>75176.100000000006</v>
      </c>
      <c r="G49" s="910">
        <v>74292.100000000006</v>
      </c>
      <c r="H49" s="910">
        <v>98197.7</v>
      </c>
      <c r="I49" s="910">
        <v>124455.1</v>
      </c>
      <c r="J49" s="910">
        <v>144250.5</v>
      </c>
      <c r="K49" s="910">
        <v>176322.6</v>
      </c>
      <c r="L49" s="919">
        <v>134430.9</v>
      </c>
      <c r="M49" s="914">
        <v>145996.70000000001</v>
      </c>
      <c r="N49" s="914">
        <v>125304.946</v>
      </c>
    </row>
    <row r="50" spans="1:14">
      <c r="A50" s="917" t="s">
        <v>2622</v>
      </c>
      <c r="B50" s="910">
        <v>3175</v>
      </c>
      <c r="C50" s="910">
        <v>4060.9</v>
      </c>
      <c r="D50" s="910">
        <v>5814.8</v>
      </c>
      <c r="E50" s="910">
        <v>6331.3</v>
      </c>
      <c r="F50" s="910">
        <v>7770.8</v>
      </c>
      <c r="G50" s="910">
        <v>10380.200000000001</v>
      </c>
      <c r="H50" s="910">
        <v>15683.8</v>
      </c>
      <c r="I50" s="910">
        <v>14240.4</v>
      </c>
      <c r="J50" s="910">
        <v>16243.8</v>
      </c>
      <c r="K50" s="910">
        <v>20872.099999999999</v>
      </c>
      <c r="L50" s="919">
        <v>17841.400000000001</v>
      </c>
      <c r="M50" s="914">
        <v>14283.1</v>
      </c>
      <c r="N50" s="914">
        <v>29206.802</v>
      </c>
    </row>
    <row r="51" spans="1:14">
      <c r="A51" s="917" t="s">
        <v>2623</v>
      </c>
      <c r="B51" s="910">
        <v>12815.2</v>
      </c>
      <c r="C51" s="910">
        <v>10773.9</v>
      </c>
      <c r="D51" s="910">
        <v>20799.900000000001</v>
      </c>
      <c r="E51" s="910">
        <v>38555.599999999999</v>
      </c>
      <c r="F51" s="910">
        <v>32553.9</v>
      </c>
      <c r="G51" s="910">
        <v>31606.9</v>
      </c>
      <c r="H51" s="910">
        <v>33019.800000000003</v>
      </c>
      <c r="I51" s="910">
        <v>46784.4</v>
      </c>
      <c r="J51" s="910">
        <v>72743.5</v>
      </c>
      <c r="K51" s="910">
        <v>76242.8</v>
      </c>
      <c r="L51" s="919">
        <v>94651.8</v>
      </c>
      <c r="M51" s="914">
        <v>148983.9</v>
      </c>
      <c r="N51" s="914">
        <v>146425.26800000001</v>
      </c>
    </row>
    <row r="52" spans="1:14">
      <c r="A52" s="917" t="s">
        <v>2624</v>
      </c>
      <c r="B52" s="910">
        <v>7708.5</v>
      </c>
      <c r="C52" s="910">
        <v>7282.4</v>
      </c>
      <c r="D52" s="910">
        <v>7978.2</v>
      </c>
      <c r="E52" s="910">
        <v>11886.5</v>
      </c>
      <c r="F52" s="910">
        <v>19154.3</v>
      </c>
      <c r="G52" s="910">
        <v>21173.5</v>
      </c>
      <c r="H52" s="910">
        <v>23636.799999999999</v>
      </c>
      <c r="I52" s="910">
        <v>23708.3</v>
      </c>
      <c r="J52" s="910">
        <v>27495.5</v>
      </c>
      <c r="K52" s="910">
        <v>35813.42</v>
      </c>
      <c r="L52" s="919">
        <v>39887.699999999997</v>
      </c>
      <c r="M52" s="914">
        <v>47476.9</v>
      </c>
      <c r="N52" s="914">
        <v>85231.534</v>
      </c>
    </row>
    <row r="53" spans="1:14">
      <c r="A53" s="917" t="s">
        <v>2625</v>
      </c>
      <c r="B53" s="910">
        <v>8667</v>
      </c>
      <c r="C53" s="910">
        <v>9572.2000000000007</v>
      </c>
      <c r="D53" s="910">
        <v>10431</v>
      </c>
      <c r="E53" s="910">
        <v>14520.3</v>
      </c>
      <c r="F53" s="910">
        <v>40619.199999999997</v>
      </c>
      <c r="G53" s="910">
        <v>21387.7</v>
      </c>
      <c r="H53" s="910">
        <v>21005.7</v>
      </c>
      <c r="I53" s="910">
        <v>24518.9</v>
      </c>
      <c r="J53" s="910">
        <v>29024.7</v>
      </c>
      <c r="K53" s="910">
        <v>28101.4</v>
      </c>
      <c r="L53" s="919">
        <v>30828.6</v>
      </c>
      <c r="M53" s="914">
        <v>40245.699999999997</v>
      </c>
      <c r="N53" s="914">
        <v>77909.975999999995</v>
      </c>
    </row>
    <row r="54" spans="1:14">
      <c r="A54" s="917" t="s">
        <v>2626</v>
      </c>
      <c r="B54" s="910">
        <v>5324.1</v>
      </c>
      <c r="C54" s="910">
        <v>5847.1</v>
      </c>
      <c r="D54" s="910">
        <v>6534.1</v>
      </c>
      <c r="E54" s="910">
        <v>7589.3</v>
      </c>
      <c r="F54" s="910">
        <v>9201.7000000000007</v>
      </c>
      <c r="G54" s="910">
        <v>15906.9</v>
      </c>
      <c r="H54" s="910">
        <v>18793.900000000001</v>
      </c>
      <c r="I54" s="910">
        <v>21796.1</v>
      </c>
      <c r="J54" s="910">
        <v>21608.1</v>
      </c>
      <c r="K54" s="910">
        <v>33109.9</v>
      </c>
      <c r="L54" s="919">
        <v>36332</v>
      </c>
      <c r="M54" s="914">
        <v>49583.8</v>
      </c>
      <c r="N54" s="914">
        <v>108997.33</v>
      </c>
    </row>
    <row r="55" spans="1:14">
      <c r="A55" s="917" t="s">
        <v>2627</v>
      </c>
      <c r="B55" s="910">
        <v>16069.1</v>
      </c>
      <c r="C55" s="910">
        <v>17167.5</v>
      </c>
      <c r="D55" s="910">
        <v>20466.900000000001</v>
      </c>
      <c r="E55" s="910">
        <v>25632.5</v>
      </c>
      <c r="F55" s="910">
        <v>32584.1</v>
      </c>
      <c r="G55" s="910" t="s">
        <v>2628</v>
      </c>
      <c r="H55" s="910" t="s">
        <v>2628</v>
      </c>
      <c r="I55" s="910" t="s">
        <v>2628</v>
      </c>
      <c r="J55" s="910" t="s">
        <v>2628</v>
      </c>
      <c r="K55" s="910" t="s">
        <v>2628</v>
      </c>
      <c r="L55" s="910" t="s">
        <v>2628</v>
      </c>
      <c r="M55" s="911" t="s">
        <v>2628</v>
      </c>
      <c r="N55" s="911" t="s">
        <v>2628</v>
      </c>
    </row>
    <row r="56" spans="1:14">
      <c r="A56" s="917" t="s">
        <v>2629</v>
      </c>
      <c r="B56" s="902" t="s">
        <v>2628</v>
      </c>
      <c r="C56" s="902" t="s">
        <v>2628</v>
      </c>
      <c r="D56" s="902" t="s">
        <v>2628</v>
      </c>
      <c r="E56" s="902" t="s">
        <v>2628</v>
      </c>
      <c r="F56" s="902" t="s">
        <v>2628</v>
      </c>
      <c r="G56" s="910">
        <v>31120</v>
      </c>
      <c r="H56" s="910">
        <v>34746.1</v>
      </c>
      <c r="I56" s="910">
        <v>38604.699999999997</v>
      </c>
      <c r="J56" s="910">
        <v>44077.599999999999</v>
      </c>
      <c r="K56" s="910">
        <v>63807.9</v>
      </c>
      <c r="L56" s="919">
        <v>78625.5</v>
      </c>
      <c r="M56" s="914">
        <v>83062.2</v>
      </c>
      <c r="N56" s="914">
        <v>84270.945000000007</v>
      </c>
    </row>
    <row r="57" spans="1:14">
      <c r="A57" s="917" t="s">
        <v>2630</v>
      </c>
      <c r="B57" s="902" t="s">
        <v>2628</v>
      </c>
      <c r="C57" s="902" t="s">
        <v>2628</v>
      </c>
      <c r="D57" s="902" t="s">
        <v>2628</v>
      </c>
      <c r="E57" s="902" t="s">
        <v>2628</v>
      </c>
      <c r="F57" s="902" t="s">
        <v>2628</v>
      </c>
      <c r="G57" s="910">
        <v>21137.5</v>
      </c>
      <c r="H57" s="910">
        <v>31612.1</v>
      </c>
      <c r="I57" s="910">
        <v>34173.5</v>
      </c>
      <c r="J57" s="910">
        <v>43049.8</v>
      </c>
      <c r="K57" s="910">
        <v>46844</v>
      </c>
      <c r="L57" s="919">
        <v>53082.400000000001</v>
      </c>
      <c r="M57" s="914">
        <v>56252.4</v>
      </c>
      <c r="N57" s="914">
        <v>104337.09699999999</v>
      </c>
    </row>
    <row r="58" spans="1:14" ht="25.5">
      <c r="A58" s="917" t="s">
        <v>2631</v>
      </c>
      <c r="B58" s="910">
        <v>1617</v>
      </c>
      <c r="C58" s="910">
        <v>1695.6</v>
      </c>
      <c r="D58" s="910">
        <v>1910.2</v>
      </c>
      <c r="E58" s="910">
        <v>1869.9</v>
      </c>
      <c r="F58" s="910">
        <v>1501</v>
      </c>
      <c r="G58" s="910">
        <v>4704.2</v>
      </c>
      <c r="H58" s="910">
        <v>7602</v>
      </c>
      <c r="I58" s="910">
        <v>8088.4</v>
      </c>
      <c r="J58" s="910">
        <v>8089.5</v>
      </c>
      <c r="K58" s="910">
        <v>14560.1</v>
      </c>
      <c r="L58" s="919">
        <v>19777.400000000001</v>
      </c>
      <c r="M58" s="914">
        <v>17594.599999999999</v>
      </c>
      <c r="N58" s="914">
        <v>15085.736999999999</v>
      </c>
    </row>
    <row r="59" spans="1:14" ht="25.5">
      <c r="A59" s="917" t="s">
        <v>2632</v>
      </c>
      <c r="B59" s="910">
        <v>111052.2</v>
      </c>
      <c r="C59" s="910">
        <v>149726.5</v>
      </c>
      <c r="D59" s="910">
        <v>215522.8</v>
      </c>
      <c r="E59" s="910">
        <v>259779.7</v>
      </c>
      <c r="F59" s="910">
        <v>340217.1</v>
      </c>
      <c r="G59" s="910">
        <v>7565.8</v>
      </c>
      <c r="H59" s="910">
        <v>16892.3</v>
      </c>
      <c r="I59" s="910">
        <v>19963.599999999999</v>
      </c>
      <c r="J59" s="910">
        <v>24963.5</v>
      </c>
      <c r="K59" s="910">
        <v>40121.800000000003</v>
      </c>
      <c r="L59" s="919">
        <v>38282.699999999997</v>
      </c>
      <c r="M59" s="914">
        <v>38956.1</v>
      </c>
      <c r="N59" s="914">
        <v>48089.599999999999</v>
      </c>
    </row>
    <row r="60" spans="1:14">
      <c r="A60" s="917" t="s">
        <v>2633</v>
      </c>
      <c r="B60" s="910">
        <v>68020.100000000006</v>
      </c>
      <c r="C60" s="910">
        <v>73361.399999999994</v>
      </c>
      <c r="D60" s="910">
        <v>113390.2</v>
      </c>
      <c r="E60" s="910">
        <v>182570.6</v>
      </c>
      <c r="F60" s="910">
        <v>135502</v>
      </c>
      <c r="G60" s="910">
        <v>87305.4</v>
      </c>
      <c r="H60" s="910">
        <v>108655.1</v>
      </c>
      <c r="I60" s="910">
        <v>157993.79999999999</v>
      </c>
      <c r="J60" s="910">
        <v>293044</v>
      </c>
      <c r="K60" s="910">
        <v>452350.4</v>
      </c>
      <c r="L60" s="919">
        <v>558669.19999999995</v>
      </c>
      <c r="M60" s="935">
        <v>309520.8</v>
      </c>
      <c r="N60" s="914">
        <v>323396.59999999998</v>
      </c>
    </row>
    <row r="61" spans="1:14">
      <c r="A61" s="917" t="s">
        <v>2634</v>
      </c>
      <c r="B61" s="910">
        <v>6815.8</v>
      </c>
      <c r="C61" s="910">
        <v>7599.9</v>
      </c>
      <c r="D61" s="910">
        <v>22044.1</v>
      </c>
      <c r="E61" s="910">
        <v>21520.400000000001</v>
      </c>
      <c r="F61" s="910">
        <v>7172.2</v>
      </c>
      <c r="G61" s="910">
        <v>12183.9</v>
      </c>
      <c r="H61" s="910">
        <v>18817.8</v>
      </c>
      <c r="I61" s="910">
        <v>18563.099999999999</v>
      </c>
      <c r="J61" s="910">
        <v>20384.400000000001</v>
      </c>
      <c r="K61" s="910">
        <v>21409.3</v>
      </c>
      <c r="L61" s="919">
        <v>31632.799999999999</v>
      </c>
      <c r="M61" s="935">
        <v>24857.3</v>
      </c>
      <c r="N61" s="936">
        <v>6659.9</v>
      </c>
    </row>
    <row r="62" spans="1:14">
      <c r="A62" s="917" t="s">
        <v>2635</v>
      </c>
      <c r="B62" s="910">
        <v>2902.8</v>
      </c>
      <c r="C62" s="910">
        <v>3955.2</v>
      </c>
      <c r="D62" s="910">
        <v>5394.6</v>
      </c>
      <c r="E62" s="910">
        <v>7974.6</v>
      </c>
      <c r="F62" s="910">
        <v>12835.1</v>
      </c>
      <c r="G62" s="910">
        <v>17109.5</v>
      </c>
      <c r="H62" s="910">
        <v>17431.599999999999</v>
      </c>
      <c r="I62" s="910">
        <v>24597.9</v>
      </c>
      <c r="J62" s="910">
        <v>36598.5</v>
      </c>
      <c r="K62" s="910">
        <v>31420.5</v>
      </c>
      <c r="L62" s="919">
        <v>30435.9</v>
      </c>
      <c r="M62" s="935">
        <v>45263.5</v>
      </c>
      <c r="N62" s="936">
        <v>59757.9</v>
      </c>
    </row>
    <row r="63" spans="1:14">
      <c r="A63" s="917" t="s">
        <v>2636</v>
      </c>
      <c r="B63" s="910">
        <v>20814.3</v>
      </c>
      <c r="C63" s="910">
        <v>20912.099999999999</v>
      </c>
      <c r="D63" s="910">
        <v>30689.5</v>
      </c>
      <c r="E63" s="910">
        <v>35653.699999999997</v>
      </c>
      <c r="F63" s="910">
        <v>38921.800000000003</v>
      </c>
      <c r="G63" s="910">
        <v>44929.8</v>
      </c>
      <c r="H63" s="910">
        <v>75250.3</v>
      </c>
      <c r="I63" s="910">
        <v>73926.600000000006</v>
      </c>
      <c r="J63" s="910">
        <v>101120.5</v>
      </c>
      <c r="K63" s="910">
        <v>83017.7</v>
      </c>
      <c r="L63" s="919">
        <v>107499.8</v>
      </c>
      <c r="M63" s="935">
        <v>176821.9</v>
      </c>
      <c r="N63" s="936">
        <v>193587.9</v>
      </c>
    </row>
    <row r="64" spans="1:14" s="908" customFormat="1">
      <c r="M64" s="937"/>
    </row>
    <row r="65" spans="1:13" s="939" customFormat="1">
      <c r="A65" s="1263" t="s">
        <v>2637</v>
      </c>
      <c r="B65" s="1264"/>
      <c r="C65" s="1264"/>
      <c r="D65" s="1264"/>
      <c r="E65" s="1264"/>
      <c r="F65" s="1264"/>
      <c r="G65" s="1264"/>
      <c r="H65" s="1264"/>
      <c r="I65" s="1264"/>
      <c r="J65" s="1264"/>
      <c r="K65" s="1264"/>
      <c r="L65" s="938"/>
      <c r="M65" s="916"/>
    </row>
    <row r="66" spans="1:13">
      <c r="A66" s="940"/>
      <c r="B66" s="941"/>
      <c r="C66" s="942"/>
      <c r="D66" s="942"/>
      <c r="E66" s="942"/>
      <c r="F66" s="942"/>
    </row>
    <row r="67" spans="1:13">
      <c r="A67" s="940"/>
      <c r="B67" s="941"/>
      <c r="C67" s="941"/>
      <c r="D67" s="941"/>
      <c r="E67" s="941"/>
      <c r="F67" s="941"/>
      <c r="G67" s="941"/>
      <c r="H67" s="941"/>
      <c r="I67" s="941"/>
      <c r="J67" s="941"/>
      <c r="K67" s="941"/>
    </row>
    <row r="68" spans="1:13">
      <c r="A68" s="940"/>
      <c r="B68" s="941"/>
      <c r="C68" s="943"/>
      <c r="D68" s="943"/>
      <c r="E68" s="943"/>
      <c r="F68" s="943"/>
    </row>
    <row r="69" spans="1:13">
      <c r="A69" s="940"/>
      <c r="B69" s="941"/>
      <c r="C69" s="942"/>
      <c r="D69" s="942"/>
      <c r="E69" s="942"/>
      <c r="F69" s="942"/>
    </row>
    <row r="70" spans="1:13">
      <c r="A70" s="940"/>
      <c r="B70" s="941"/>
      <c r="C70" s="943"/>
      <c r="D70" s="943"/>
      <c r="E70" s="943"/>
      <c r="F70" s="943"/>
    </row>
    <row r="71" spans="1:13">
      <c r="A71" s="940"/>
      <c r="B71" s="941"/>
      <c r="C71" s="943"/>
      <c r="D71" s="943"/>
      <c r="E71" s="943"/>
      <c r="F71" s="943"/>
    </row>
    <row r="72" spans="1:13">
      <c r="A72" s="940"/>
      <c r="B72" s="941"/>
      <c r="C72" s="942"/>
      <c r="D72" s="942"/>
      <c r="E72" s="942"/>
      <c r="F72" s="942"/>
    </row>
    <row r="73" spans="1:13">
      <c r="A73" s="940"/>
      <c r="B73" s="941"/>
      <c r="C73" s="943"/>
      <c r="D73" s="943"/>
      <c r="E73" s="943"/>
      <c r="F73" s="943"/>
    </row>
    <row r="74" spans="1:13">
      <c r="A74" s="940"/>
      <c r="B74" s="941"/>
      <c r="C74" s="943"/>
      <c r="D74" s="943"/>
      <c r="E74" s="943"/>
      <c r="F74" s="943"/>
    </row>
    <row r="75" spans="1:13">
      <c r="A75" s="940"/>
      <c r="B75" s="941"/>
      <c r="C75" s="942"/>
      <c r="D75" s="942"/>
      <c r="E75" s="942"/>
      <c r="F75" s="942"/>
    </row>
    <row r="76" spans="1:13">
      <c r="A76" s="940"/>
      <c r="B76" s="941"/>
      <c r="C76" s="942"/>
      <c r="D76" s="942"/>
      <c r="E76" s="942"/>
      <c r="F76" s="942"/>
    </row>
    <row r="77" spans="1:13">
      <c r="A77" s="940"/>
      <c r="B77" s="941"/>
      <c r="C77" s="942"/>
      <c r="D77" s="942"/>
      <c r="E77" s="942"/>
      <c r="F77" s="942"/>
    </row>
    <row r="78" spans="1:13">
      <c r="A78" s="940"/>
      <c r="B78" s="941"/>
      <c r="C78" s="942"/>
      <c r="D78" s="942"/>
      <c r="E78" s="942"/>
      <c r="F78" s="942"/>
    </row>
    <row r="79" spans="1:13">
      <c r="A79" s="940"/>
      <c r="B79" s="941"/>
      <c r="C79" s="942"/>
      <c r="D79" s="942"/>
      <c r="E79" s="942"/>
      <c r="F79" s="942"/>
    </row>
    <row r="80" spans="1:13">
      <c r="A80" s="940"/>
      <c r="B80" s="941"/>
      <c r="C80" s="942"/>
      <c r="D80" s="942"/>
      <c r="E80" s="942"/>
      <c r="F80" s="942"/>
    </row>
    <row r="81" spans="1:6">
      <c r="A81" s="940"/>
      <c r="B81" s="941"/>
      <c r="C81" s="942"/>
      <c r="D81" s="942"/>
      <c r="E81" s="942"/>
      <c r="F81" s="942"/>
    </row>
    <row r="82" spans="1:6">
      <c r="A82" s="940"/>
      <c r="B82" s="941"/>
      <c r="C82" s="942"/>
      <c r="D82" s="942"/>
      <c r="E82" s="942"/>
      <c r="F82" s="942"/>
    </row>
    <row r="83" spans="1:6">
      <c r="A83" s="940"/>
      <c r="B83" s="941"/>
      <c r="C83" s="942"/>
      <c r="D83" s="942"/>
      <c r="E83" s="942"/>
      <c r="F83" s="942"/>
    </row>
    <row r="84" spans="1:6">
      <c r="A84" s="940"/>
      <c r="B84" s="941"/>
      <c r="C84" s="942"/>
      <c r="D84" s="942"/>
      <c r="E84" s="942"/>
      <c r="F84" s="942"/>
    </row>
    <row r="85" spans="1:6">
      <c r="A85" s="940"/>
      <c r="B85" s="941"/>
      <c r="C85" s="942"/>
      <c r="D85" s="942"/>
      <c r="E85" s="942"/>
      <c r="F85" s="942"/>
    </row>
    <row r="86" spans="1:6">
      <c r="A86" s="940"/>
      <c r="B86" s="941"/>
      <c r="C86" s="942"/>
      <c r="D86" s="942"/>
      <c r="E86" s="942"/>
      <c r="F86" s="942"/>
    </row>
    <row r="87" spans="1:6">
      <c r="A87" s="940"/>
      <c r="B87" s="941"/>
      <c r="C87" s="942"/>
      <c r="D87" s="942"/>
      <c r="E87" s="942"/>
      <c r="F87" s="942"/>
    </row>
    <row r="88" spans="1:6">
      <c r="A88" s="940"/>
      <c r="B88" s="941"/>
      <c r="C88" s="942"/>
      <c r="D88" s="942"/>
      <c r="E88" s="942"/>
      <c r="F88" s="942"/>
    </row>
    <row r="89" spans="1:6">
      <c r="A89" s="940"/>
      <c r="B89" s="941"/>
      <c r="C89" s="942"/>
      <c r="D89" s="942"/>
      <c r="E89" s="942"/>
      <c r="F89" s="942"/>
    </row>
    <row r="90" spans="1:6">
      <c r="A90" s="940"/>
      <c r="B90" s="941"/>
      <c r="C90" s="942"/>
      <c r="D90" s="942"/>
      <c r="E90" s="942"/>
      <c r="F90" s="942"/>
    </row>
    <row r="91" spans="1:6">
      <c r="A91" s="940"/>
      <c r="B91" s="941"/>
      <c r="C91" s="942"/>
      <c r="D91" s="942"/>
      <c r="E91" s="942"/>
      <c r="F91" s="942"/>
    </row>
    <row r="92" spans="1:6">
      <c r="A92" s="940"/>
      <c r="B92" s="941"/>
      <c r="C92" s="942"/>
      <c r="D92" s="942"/>
      <c r="E92" s="942"/>
      <c r="F92" s="942"/>
    </row>
    <row r="93" spans="1:6">
      <c r="A93" s="940"/>
      <c r="B93" s="941"/>
      <c r="C93" s="942"/>
      <c r="D93" s="942"/>
      <c r="E93" s="942"/>
      <c r="F93" s="942"/>
    </row>
    <row r="94" spans="1:6">
      <c r="A94" s="940"/>
      <c r="B94" s="941"/>
      <c r="C94" s="942"/>
      <c r="D94" s="942"/>
      <c r="E94" s="942"/>
      <c r="F94" s="942"/>
    </row>
    <row r="95" spans="1:6">
      <c r="A95" s="940"/>
      <c r="B95" s="941"/>
      <c r="C95" s="942"/>
      <c r="D95" s="942"/>
      <c r="E95" s="942"/>
      <c r="F95" s="942"/>
    </row>
    <row r="96" spans="1:6">
      <c r="A96" s="940"/>
      <c r="B96" s="941"/>
      <c r="C96" s="942"/>
      <c r="D96" s="942"/>
      <c r="E96" s="942"/>
      <c r="F96" s="942"/>
    </row>
    <row r="97" spans="1:6">
      <c r="A97" s="940"/>
      <c r="B97" s="941"/>
      <c r="C97" s="942"/>
      <c r="D97" s="942"/>
      <c r="E97" s="942"/>
      <c r="F97" s="942"/>
    </row>
    <row r="98" spans="1:6">
      <c r="A98" s="940"/>
      <c r="B98" s="941"/>
      <c r="C98" s="942"/>
      <c r="D98" s="942"/>
      <c r="E98" s="942"/>
      <c r="F98" s="942"/>
    </row>
    <row r="99" spans="1:6">
      <c r="A99" s="940"/>
      <c r="B99" s="941"/>
    </row>
    <row r="100" spans="1:6">
      <c r="A100" s="940"/>
      <c r="B100" s="941"/>
    </row>
    <row r="101" spans="1:6">
      <c r="A101" s="940"/>
      <c r="B101" s="941"/>
    </row>
    <row r="102" spans="1:6">
      <c r="A102" s="940"/>
      <c r="B102" s="941"/>
    </row>
    <row r="103" spans="1:6">
      <c r="A103" s="940"/>
      <c r="B103" s="941"/>
    </row>
    <row r="104" spans="1:6">
      <c r="A104" s="940"/>
      <c r="B104" s="941"/>
    </row>
    <row r="105" spans="1:6">
      <c r="A105" s="940"/>
      <c r="B105" s="941"/>
    </row>
    <row r="106" spans="1:6">
      <c r="A106" s="940"/>
      <c r="B106" s="941"/>
    </row>
    <row r="107" spans="1:6">
      <c r="A107" s="940"/>
      <c r="B107" s="941"/>
    </row>
    <row r="108" spans="1:6">
      <c r="A108" s="940"/>
      <c r="B108" s="941"/>
    </row>
    <row r="109" spans="1:6">
      <c r="A109" s="940"/>
      <c r="B109" s="941"/>
    </row>
    <row r="110" spans="1:6">
      <c r="A110" s="940"/>
      <c r="B110" s="941"/>
    </row>
    <row r="111" spans="1:6">
      <c r="A111" s="940"/>
      <c r="B111" s="941"/>
    </row>
    <row r="112" spans="1:6">
      <c r="A112" s="940"/>
      <c r="B112" s="941"/>
    </row>
    <row r="113" spans="1:2">
      <c r="A113" s="940"/>
      <c r="B113" s="941"/>
    </row>
    <row r="114" spans="1:2">
      <c r="A114" s="940"/>
      <c r="B114" s="941"/>
    </row>
    <row r="115" spans="1:2">
      <c r="A115" s="940"/>
      <c r="B115" s="941"/>
    </row>
    <row r="116" spans="1:2">
      <c r="A116" s="940"/>
      <c r="B116" s="941"/>
    </row>
    <row r="117" spans="1:2">
      <c r="A117" s="940"/>
      <c r="B117" s="941"/>
    </row>
    <row r="118" spans="1:2">
      <c r="A118" s="940"/>
      <c r="B118" s="941"/>
    </row>
    <row r="119" spans="1:2">
      <c r="A119" s="940"/>
      <c r="B119" s="941"/>
    </row>
    <row r="120" spans="1:2">
      <c r="A120" s="940"/>
      <c r="B120" s="941"/>
    </row>
    <row r="121" spans="1:2">
      <c r="A121" s="940"/>
      <c r="B121" s="941"/>
    </row>
    <row r="122" spans="1:2">
      <c r="A122" s="940"/>
      <c r="B122" s="941"/>
    </row>
    <row r="123" spans="1:2">
      <c r="A123" s="940"/>
      <c r="B123" s="941"/>
    </row>
    <row r="124" spans="1:2">
      <c r="A124" s="940"/>
      <c r="B124" s="941"/>
    </row>
    <row r="125" spans="1:2">
      <c r="A125" s="940"/>
      <c r="B125" s="941"/>
    </row>
    <row r="126" spans="1:2">
      <c r="A126" s="940"/>
      <c r="B126" s="941"/>
    </row>
    <row r="127" spans="1:2">
      <c r="A127" s="940"/>
      <c r="B127" s="941"/>
    </row>
    <row r="128" spans="1:2">
      <c r="A128" s="940"/>
      <c r="B128" s="941"/>
    </row>
    <row r="129" spans="1:2">
      <c r="A129" s="940"/>
      <c r="B129" s="941"/>
    </row>
    <row r="130" spans="1:2">
      <c r="A130" s="940"/>
      <c r="B130" s="941"/>
    </row>
    <row r="131" spans="1:2">
      <c r="A131" s="940"/>
      <c r="B131" s="941"/>
    </row>
    <row r="132" spans="1:2">
      <c r="A132" s="940"/>
      <c r="B132" s="941"/>
    </row>
    <row r="133" spans="1:2">
      <c r="A133" s="940"/>
      <c r="B133" s="941"/>
    </row>
    <row r="134" spans="1:2">
      <c r="A134" s="940"/>
      <c r="B134" s="941"/>
    </row>
    <row r="135" spans="1:2">
      <c r="A135" s="940"/>
      <c r="B135" s="941"/>
    </row>
    <row r="136" spans="1:2">
      <c r="A136" s="940"/>
      <c r="B136" s="941"/>
    </row>
    <row r="137" spans="1:2">
      <c r="A137" s="940"/>
      <c r="B137" s="941"/>
    </row>
    <row r="138" spans="1:2">
      <c r="A138" s="940"/>
      <c r="B138" s="941"/>
    </row>
    <row r="139" spans="1:2">
      <c r="A139" s="940"/>
      <c r="B139" s="941"/>
    </row>
    <row r="140" spans="1:2">
      <c r="A140" s="940"/>
      <c r="B140" s="941"/>
    </row>
    <row r="141" spans="1:2">
      <c r="A141" s="940"/>
      <c r="B141" s="941"/>
    </row>
    <row r="142" spans="1:2">
      <c r="A142" s="940"/>
      <c r="B142" s="941"/>
    </row>
    <row r="143" spans="1:2">
      <c r="A143" s="940"/>
      <c r="B143" s="941"/>
    </row>
    <row r="144" spans="1:2">
      <c r="A144" s="940"/>
      <c r="B144" s="941"/>
    </row>
    <row r="145" spans="1:2">
      <c r="A145" s="940"/>
      <c r="B145" s="941"/>
    </row>
    <row r="146" spans="1:2">
      <c r="A146" s="940"/>
      <c r="B146" s="941"/>
    </row>
    <row r="147" spans="1:2">
      <c r="A147" s="940"/>
      <c r="B147" s="941"/>
    </row>
    <row r="148" spans="1:2">
      <c r="A148" s="940"/>
      <c r="B148" s="941"/>
    </row>
  </sheetData>
  <mergeCells count="3">
    <mergeCell ref="A1:N1"/>
    <mergeCell ref="A2:N2"/>
    <mergeCell ref="A65:K65"/>
  </mergeCells>
  <pageMargins left="0.15748031496062992" right="0.15748031496062992" top="0.15748031496062992" bottom="0.15748031496062992" header="0.15748031496062992" footer="0.15748031496062992"/>
  <pageSetup paperSize="9" scale="5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C10" sqref="C10"/>
    </sheetView>
  </sheetViews>
  <sheetFormatPr defaultRowHeight="12.75"/>
  <cols>
    <col min="2" max="3" width="15.42578125" customWidth="1"/>
    <col min="5" max="5" width="29.28515625" customWidth="1"/>
  </cols>
  <sheetData>
    <row r="1" spans="1:5">
      <c r="A1" s="1265" t="s">
        <v>667</v>
      </c>
      <c r="B1" s="1265"/>
      <c r="C1" s="1265"/>
    </row>
    <row r="2" spans="1:5">
      <c r="A2" s="1266" t="s">
        <v>668</v>
      </c>
      <c r="B2" s="1266"/>
      <c r="C2" s="1266"/>
      <c r="E2" s="235" t="s">
        <v>2640</v>
      </c>
    </row>
    <row r="3" spans="1:5">
      <c r="A3" s="1267" t="s">
        <v>1830</v>
      </c>
      <c r="B3" s="1267"/>
      <c r="C3" s="395"/>
      <c r="E3" s="630">
        <v>17417700</v>
      </c>
    </row>
    <row r="4" spans="1:5">
      <c r="A4" s="1268"/>
      <c r="B4" s="1269" t="s">
        <v>2641</v>
      </c>
      <c r="C4" s="1269" t="s">
        <v>2642</v>
      </c>
    </row>
    <row r="5" spans="1:5">
      <c r="A5" s="1268"/>
      <c r="B5" s="1269"/>
      <c r="C5" s="1269"/>
    </row>
    <row r="6" spans="1:5" ht="45">
      <c r="A6" s="403" t="s">
        <v>655</v>
      </c>
      <c r="B6" s="399">
        <v>11810</v>
      </c>
      <c r="C6" s="404">
        <f>B6*$E$3</f>
        <v>205703037000</v>
      </c>
    </row>
    <row r="7" spans="1:5" ht="33.75">
      <c r="A7" s="400" t="s">
        <v>656</v>
      </c>
      <c r="B7" s="399">
        <v>4464</v>
      </c>
      <c r="C7" s="404">
        <f t="shared" ref="C7:C14" si="0">B7*$E$3</f>
        <v>77752612800</v>
      </c>
    </row>
    <row r="8" spans="1:5" ht="56.25">
      <c r="A8" s="400" t="s">
        <v>657</v>
      </c>
      <c r="B8" s="399">
        <v>53</v>
      </c>
      <c r="C8" s="404">
        <f t="shared" si="0"/>
        <v>923138100</v>
      </c>
    </row>
    <row r="9" spans="1:5" ht="45">
      <c r="A9" s="400" t="s">
        <v>658</v>
      </c>
      <c r="B9" s="399">
        <v>295</v>
      </c>
      <c r="C9" s="404">
        <f t="shared" si="0"/>
        <v>5138221500</v>
      </c>
    </row>
    <row r="10" spans="1:5" ht="22.5">
      <c r="A10" s="400" t="s">
        <v>659</v>
      </c>
      <c r="B10" s="399">
        <v>655</v>
      </c>
      <c r="C10" s="404">
        <f t="shared" si="0"/>
        <v>11408593500</v>
      </c>
    </row>
    <row r="11" spans="1:5" ht="33.75">
      <c r="A11" s="400" t="s">
        <v>660</v>
      </c>
      <c r="B11" s="399">
        <v>3110</v>
      </c>
      <c r="C11" s="404">
        <f t="shared" si="0"/>
        <v>54169047000</v>
      </c>
    </row>
    <row r="12" spans="1:5" ht="33.75">
      <c r="A12" s="400" t="s">
        <v>661</v>
      </c>
      <c r="B12" s="945">
        <v>1278</v>
      </c>
      <c r="C12" s="946">
        <f t="shared" si="0"/>
        <v>22259820600</v>
      </c>
    </row>
    <row r="13" spans="1:5" ht="22.5">
      <c r="A13" s="400" t="s">
        <v>662</v>
      </c>
      <c r="B13" s="399">
        <v>1801</v>
      </c>
      <c r="C13" s="404">
        <f t="shared" si="0"/>
        <v>31369277700</v>
      </c>
    </row>
    <row r="14" spans="1:5" ht="56.25">
      <c r="A14" s="400" t="s">
        <v>663</v>
      </c>
      <c r="B14" s="945">
        <v>154</v>
      </c>
      <c r="C14" s="946">
        <f t="shared" si="0"/>
        <v>2682325800</v>
      </c>
    </row>
  </sheetData>
  <mergeCells count="6">
    <mergeCell ref="A1:C1"/>
    <mergeCell ref="A2:C2"/>
    <mergeCell ref="A3:B3"/>
    <mergeCell ref="A4:A5"/>
    <mergeCell ref="B4:B5"/>
    <mergeCell ref="C4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workbookViewId="0">
      <selection activeCell="K16" sqref="K16"/>
    </sheetView>
  </sheetViews>
  <sheetFormatPr defaultRowHeight="15"/>
  <cols>
    <col min="1" max="1" width="13.28515625" style="423" customWidth="1"/>
    <col min="2" max="2" width="10" style="423" customWidth="1"/>
    <col min="3" max="3" width="13" style="423" customWidth="1"/>
    <col min="4" max="4" width="10.7109375" style="423" customWidth="1"/>
    <col min="5" max="5" width="10.42578125" style="423" customWidth="1"/>
    <col min="6" max="6" width="12" style="423" customWidth="1"/>
    <col min="7" max="8" width="11" style="423" customWidth="1"/>
    <col min="9" max="9" width="12" style="423" customWidth="1"/>
    <col min="10" max="10" width="11.140625" style="423" customWidth="1"/>
    <col min="11" max="11" width="15.7109375" style="423" customWidth="1"/>
    <col min="12" max="256" width="9.140625" style="423"/>
    <col min="257" max="257" width="13.28515625" style="423" customWidth="1"/>
    <col min="258" max="258" width="10" style="423" customWidth="1"/>
    <col min="259" max="259" width="13" style="423" customWidth="1"/>
    <col min="260" max="260" width="10.7109375" style="423" customWidth="1"/>
    <col min="261" max="261" width="10.42578125" style="423" customWidth="1"/>
    <col min="262" max="262" width="12" style="423" customWidth="1"/>
    <col min="263" max="264" width="11" style="423" customWidth="1"/>
    <col min="265" max="265" width="12" style="423" customWidth="1"/>
    <col min="266" max="266" width="11.140625" style="423" customWidth="1"/>
    <col min="267" max="267" width="15.7109375" style="423" customWidth="1"/>
    <col min="268" max="512" width="9.140625" style="423"/>
    <col min="513" max="513" width="13.28515625" style="423" customWidth="1"/>
    <col min="514" max="514" width="10" style="423" customWidth="1"/>
    <col min="515" max="515" width="13" style="423" customWidth="1"/>
    <col min="516" max="516" width="10.7109375" style="423" customWidth="1"/>
    <col min="517" max="517" width="10.42578125" style="423" customWidth="1"/>
    <col min="518" max="518" width="12" style="423" customWidth="1"/>
    <col min="519" max="520" width="11" style="423" customWidth="1"/>
    <col min="521" max="521" width="12" style="423" customWidth="1"/>
    <col min="522" max="522" width="11.140625" style="423" customWidth="1"/>
    <col min="523" max="523" width="15.7109375" style="423" customWidth="1"/>
    <col min="524" max="768" width="9.140625" style="423"/>
    <col min="769" max="769" width="13.28515625" style="423" customWidth="1"/>
    <col min="770" max="770" width="10" style="423" customWidth="1"/>
    <col min="771" max="771" width="13" style="423" customWidth="1"/>
    <col min="772" max="772" width="10.7109375" style="423" customWidth="1"/>
    <col min="773" max="773" width="10.42578125" style="423" customWidth="1"/>
    <col min="774" max="774" width="12" style="423" customWidth="1"/>
    <col min="775" max="776" width="11" style="423" customWidth="1"/>
    <col min="777" max="777" width="12" style="423" customWidth="1"/>
    <col min="778" max="778" width="11.140625" style="423" customWidth="1"/>
    <col min="779" max="779" width="15.7109375" style="423" customWidth="1"/>
    <col min="780" max="1024" width="9.140625" style="423"/>
    <col min="1025" max="1025" width="13.28515625" style="423" customWidth="1"/>
    <col min="1026" max="1026" width="10" style="423" customWidth="1"/>
    <col min="1027" max="1027" width="13" style="423" customWidth="1"/>
    <col min="1028" max="1028" width="10.7109375" style="423" customWidth="1"/>
    <col min="1029" max="1029" width="10.42578125" style="423" customWidth="1"/>
    <col min="1030" max="1030" width="12" style="423" customWidth="1"/>
    <col min="1031" max="1032" width="11" style="423" customWidth="1"/>
    <col min="1033" max="1033" width="12" style="423" customWidth="1"/>
    <col min="1034" max="1034" width="11.140625" style="423" customWidth="1"/>
    <col min="1035" max="1035" width="15.7109375" style="423" customWidth="1"/>
    <col min="1036" max="1280" width="9.140625" style="423"/>
    <col min="1281" max="1281" width="13.28515625" style="423" customWidth="1"/>
    <col min="1282" max="1282" width="10" style="423" customWidth="1"/>
    <col min="1283" max="1283" width="13" style="423" customWidth="1"/>
    <col min="1284" max="1284" width="10.7109375" style="423" customWidth="1"/>
    <col min="1285" max="1285" width="10.42578125" style="423" customWidth="1"/>
    <col min="1286" max="1286" width="12" style="423" customWidth="1"/>
    <col min="1287" max="1288" width="11" style="423" customWidth="1"/>
    <col min="1289" max="1289" width="12" style="423" customWidth="1"/>
    <col min="1290" max="1290" width="11.140625" style="423" customWidth="1"/>
    <col min="1291" max="1291" width="15.7109375" style="423" customWidth="1"/>
    <col min="1292" max="1536" width="9.140625" style="423"/>
    <col min="1537" max="1537" width="13.28515625" style="423" customWidth="1"/>
    <col min="1538" max="1538" width="10" style="423" customWidth="1"/>
    <col min="1539" max="1539" width="13" style="423" customWidth="1"/>
    <col min="1540" max="1540" width="10.7109375" style="423" customWidth="1"/>
    <col min="1541" max="1541" width="10.42578125" style="423" customWidth="1"/>
    <col min="1542" max="1542" width="12" style="423" customWidth="1"/>
    <col min="1543" max="1544" width="11" style="423" customWidth="1"/>
    <col min="1545" max="1545" width="12" style="423" customWidth="1"/>
    <col min="1546" max="1546" width="11.140625" style="423" customWidth="1"/>
    <col min="1547" max="1547" width="15.7109375" style="423" customWidth="1"/>
    <col min="1548" max="1792" width="9.140625" style="423"/>
    <col min="1793" max="1793" width="13.28515625" style="423" customWidth="1"/>
    <col min="1794" max="1794" width="10" style="423" customWidth="1"/>
    <col min="1795" max="1795" width="13" style="423" customWidth="1"/>
    <col min="1796" max="1796" width="10.7109375" style="423" customWidth="1"/>
    <col min="1797" max="1797" width="10.42578125" style="423" customWidth="1"/>
    <col min="1798" max="1798" width="12" style="423" customWidth="1"/>
    <col min="1799" max="1800" width="11" style="423" customWidth="1"/>
    <col min="1801" max="1801" width="12" style="423" customWidth="1"/>
    <col min="1802" max="1802" width="11.140625" style="423" customWidth="1"/>
    <col min="1803" max="1803" width="15.7109375" style="423" customWidth="1"/>
    <col min="1804" max="2048" width="9.140625" style="423"/>
    <col min="2049" max="2049" width="13.28515625" style="423" customWidth="1"/>
    <col min="2050" max="2050" width="10" style="423" customWidth="1"/>
    <col min="2051" max="2051" width="13" style="423" customWidth="1"/>
    <col min="2052" max="2052" width="10.7109375" style="423" customWidth="1"/>
    <col min="2053" max="2053" width="10.42578125" style="423" customWidth="1"/>
    <col min="2054" max="2054" width="12" style="423" customWidth="1"/>
    <col min="2055" max="2056" width="11" style="423" customWidth="1"/>
    <col min="2057" max="2057" width="12" style="423" customWidth="1"/>
    <col min="2058" max="2058" width="11.140625" style="423" customWidth="1"/>
    <col min="2059" max="2059" width="15.7109375" style="423" customWidth="1"/>
    <col min="2060" max="2304" width="9.140625" style="423"/>
    <col min="2305" max="2305" width="13.28515625" style="423" customWidth="1"/>
    <col min="2306" max="2306" width="10" style="423" customWidth="1"/>
    <col min="2307" max="2307" width="13" style="423" customWidth="1"/>
    <col min="2308" max="2308" width="10.7109375" style="423" customWidth="1"/>
    <col min="2309" max="2309" width="10.42578125" style="423" customWidth="1"/>
    <col min="2310" max="2310" width="12" style="423" customWidth="1"/>
    <col min="2311" max="2312" width="11" style="423" customWidth="1"/>
    <col min="2313" max="2313" width="12" style="423" customWidth="1"/>
    <col min="2314" max="2314" width="11.140625" style="423" customWidth="1"/>
    <col min="2315" max="2315" width="15.7109375" style="423" customWidth="1"/>
    <col min="2316" max="2560" width="9.140625" style="423"/>
    <col min="2561" max="2561" width="13.28515625" style="423" customWidth="1"/>
    <col min="2562" max="2562" width="10" style="423" customWidth="1"/>
    <col min="2563" max="2563" width="13" style="423" customWidth="1"/>
    <col min="2564" max="2564" width="10.7109375" style="423" customWidth="1"/>
    <col min="2565" max="2565" width="10.42578125" style="423" customWidth="1"/>
    <col min="2566" max="2566" width="12" style="423" customWidth="1"/>
    <col min="2567" max="2568" width="11" style="423" customWidth="1"/>
    <col min="2569" max="2569" width="12" style="423" customWidth="1"/>
    <col min="2570" max="2570" width="11.140625" style="423" customWidth="1"/>
    <col min="2571" max="2571" width="15.7109375" style="423" customWidth="1"/>
    <col min="2572" max="2816" width="9.140625" style="423"/>
    <col min="2817" max="2817" width="13.28515625" style="423" customWidth="1"/>
    <col min="2818" max="2818" width="10" style="423" customWidth="1"/>
    <col min="2819" max="2819" width="13" style="423" customWidth="1"/>
    <col min="2820" max="2820" width="10.7109375" style="423" customWidth="1"/>
    <col min="2821" max="2821" width="10.42578125" style="423" customWidth="1"/>
    <col min="2822" max="2822" width="12" style="423" customWidth="1"/>
    <col min="2823" max="2824" width="11" style="423" customWidth="1"/>
    <col min="2825" max="2825" width="12" style="423" customWidth="1"/>
    <col min="2826" max="2826" width="11.140625" style="423" customWidth="1"/>
    <col min="2827" max="2827" width="15.7109375" style="423" customWidth="1"/>
    <col min="2828" max="3072" width="9.140625" style="423"/>
    <col min="3073" max="3073" width="13.28515625" style="423" customWidth="1"/>
    <col min="3074" max="3074" width="10" style="423" customWidth="1"/>
    <col min="3075" max="3075" width="13" style="423" customWidth="1"/>
    <col min="3076" max="3076" width="10.7109375" style="423" customWidth="1"/>
    <col min="3077" max="3077" width="10.42578125" style="423" customWidth="1"/>
    <col min="3078" max="3078" width="12" style="423" customWidth="1"/>
    <col min="3079" max="3080" width="11" style="423" customWidth="1"/>
    <col min="3081" max="3081" width="12" style="423" customWidth="1"/>
    <col min="3082" max="3082" width="11.140625" style="423" customWidth="1"/>
    <col min="3083" max="3083" width="15.7109375" style="423" customWidth="1"/>
    <col min="3084" max="3328" width="9.140625" style="423"/>
    <col min="3329" max="3329" width="13.28515625" style="423" customWidth="1"/>
    <col min="3330" max="3330" width="10" style="423" customWidth="1"/>
    <col min="3331" max="3331" width="13" style="423" customWidth="1"/>
    <col min="3332" max="3332" width="10.7109375" style="423" customWidth="1"/>
    <col min="3333" max="3333" width="10.42578125" style="423" customWidth="1"/>
    <col min="3334" max="3334" width="12" style="423" customWidth="1"/>
    <col min="3335" max="3336" width="11" style="423" customWidth="1"/>
    <col min="3337" max="3337" width="12" style="423" customWidth="1"/>
    <col min="3338" max="3338" width="11.140625" style="423" customWidth="1"/>
    <col min="3339" max="3339" width="15.7109375" style="423" customWidth="1"/>
    <col min="3340" max="3584" width="9.140625" style="423"/>
    <col min="3585" max="3585" width="13.28515625" style="423" customWidth="1"/>
    <col min="3586" max="3586" width="10" style="423" customWidth="1"/>
    <col min="3587" max="3587" width="13" style="423" customWidth="1"/>
    <col min="3588" max="3588" width="10.7109375" style="423" customWidth="1"/>
    <col min="3589" max="3589" width="10.42578125" style="423" customWidth="1"/>
    <col min="3590" max="3590" width="12" style="423" customWidth="1"/>
    <col min="3591" max="3592" width="11" style="423" customWidth="1"/>
    <col min="3593" max="3593" width="12" style="423" customWidth="1"/>
    <col min="3594" max="3594" width="11.140625" style="423" customWidth="1"/>
    <col min="3595" max="3595" width="15.7109375" style="423" customWidth="1"/>
    <col min="3596" max="3840" width="9.140625" style="423"/>
    <col min="3841" max="3841" width="13.28515625" style="423" customWidth="1"/>
    <col min="3842" max="3842" width="10" style="423" customWidth="1"/>
    <col min="3843" max="3843" width="13" style="423" customWidth="1"/>
    <col min="3844" max="3844" width="10.7109375" style="423" customWidth="1"/>
    <col min="3845" max="3845" width="10.42578125" style="423" customWidth="1"/>
    <col min="3846" max="3846" width="12" style="423" customWidth="1"/>
    <col min="3847" max="3848" width="11" style="423" customWidth="1"/>
    <col min="3849" max="3849" width="12" style="423" customWidth="1"/>
    <col min="3850" max="3850" width="11.140625" style="423" customWidth="1"/>
    <col min="3851" max="3851" width="15.7109375" style="423" customWidth="1"/>
    <col min="3852" max="4096" width="9.140625" style="423"/>
    <col min="4097" max="4097" width="13.28515625" style="423" customWidth="1"/>
    <col min="4098" max="4098" width="10" style="423" customWidth="1"/>
    <col min="4099" max="4099" width="13" style="423" customWidth="1"/>
    <col min="4100" max="4100" width="10.7109375" style="423" customWidth="1"/>
    <col min="4101" max="4101" width="10.42578125" style="423" customWidth="1"/>
    <col min="4102" max="4102" width="12" style="423" customWidth="1"/>
    <col min="4103" max="4104" width="11" style="423" customWidth="1"/>
    <col min="4105" max="4105" width="12" style="423" customWidth="1"/>
    <col min="4106" max="4106" width="11.140625" style="423" customWidth="1"/>
    <col min="4107" max="4107" width="15.7109375" style="423" customWidth="1"/>
    <col min="4108" max="4352" width="9.140625" style="423"/>
    <col min="4353" max="4353" width="13.28515625" style="423" customWidth="1"/>
    <col min="4354" max="4354" width="10" style="423" customWidth="1"/>
    <col min="4355" max="4355" width="13" style="423" customWidth="1"/>
    <col min="4356" max="4356" width="10.7109375" style="423" customWidth="1"/>
    <col min="4357" max="4357" width="10.42578125" style="423" customWidth="1"/>
    <col min="4358" max="4358" width="12" style="423" customWidth="1"/>
    <col min="4359" max="4360" width="11" style="423" customWidth="1"/>
    <col min="4361" max="4361" width="12" style="423" customWidth="1"/>
    <col min="4362" max="4362" width="11.140625" style="423" customWidth="1"/>
    <col min="4363" max="4363" width="15.7109375" style="423" customWidth="1"/>
    <col min="4364" max="4608" width="9.140625" style="423"/>
    <col min="4609" max="4609" width="13.28515625" style="423" customWidth="1"/>
    <col min="4610" max="4610" width="10" style="423" customWidth="1"/>
    <col min="4611" max="4611" width="13" style="423" customWidth="1"/>
    <col min="4612" max="4612" width="10.7109375" style="423" customWidth="1"/>
    <col min="4613" max="4613" width="10.42578125" style="423" customWidth="1"/>
    <col min="4614" max="4614" width="12" style="423" customWidth="1"/>
    <col min="4615" max="4616" width="11" style="423" customWidth="1"/>
    <col min="4617" max="4617" width="12" style="423" customWidth="1"/>
    <col min="4618" max="4618" width="11.140625" style="423" customWidth="1"/>
    <col min="4619" max="4619" width="15.7109375" style="423" customWidth="1"/>
    <col min="4620" max="4864" width="9.140625" style="423"/>
    <col min="4865" max="4865" width="13.28515625" style="423" customWidth="1"/>
    <col min="4866" max="4866" width="10" style="423" customWidth="1"/>
    <col min="4867" max="4867" width="13" style="423" customWidth="1"/>
    <col min="4868" max="4868" width="10.7109375" style="423" customWidth="1"/>
    <col min="4869" max="4869" width="10.42578125" style="423" customWidth="1"/>
    <col min="4870" max="4870" width="12" style="423" customWidth="1"/>
    <col min="4871" max="4872" width="11" style="423" customWidth="1"/>
    <col min="4873" max="4873" width="12" style="423" customWidth="1"/>
    <col min="4874" max="4874" width="11.140625" style="423" customWidth="1"/>
    <col min="4875" max="4875" width="15.7109375" style="423" customWidth="1"/>
    <col min="4876" max="5120" width="9.140625" style="423"/>
    <col min="5121" max="5121" width="13.28515625" style="423" customWidth="1"/>
    <col min="5122" max="5122" width="10" style="423" customWidth="1"/>
    <col min="5123" max="5123" width="13" style="423" customWidth="1"/>
    <col min="5124" max="5124" width="10.7109375" style="423" customWidth="1"/>
    <col min="5125" max="5125" width="10.42578125" style="423" customWidth="1"/>
    <col min="5126" max="5126" width="12" style="423" customWidth="1"/>
    <col min="5127" max="5128" width="11" style="423" customWidth="1"/>
    <col min="5129" max="5129" width="12" style="423" customWidth="1"/>
    <col min="5130" max="5130" width="11.140625" style="423" customWidth="1"/>
    <col min="5131" max="5131" width="15.7109375" style="423" customWidth="1"/>
    <col min="5132" max="5376" width="9.140625" style="423"/>
    <col min="5377" max="5377" width="13.28515625" style="423" customWidth="1"/>
    <col min="5378" max="5378" width="10" style="423" customWidth="1"/>
    <col min="5379" max="5379" width="13" style="423" customWidth="1"/>
    <col min="5380" max="5380" width="10.7109375" style="423" customWidth="1"/>
    <col min="5381" max="5381" width="10.42578125" style="423" customWidth="1"/>
    <col min="5382" max="5382" width="12" style="423" customWidth="1"/>
    <col min="5383" max="5384" width="11" style="423" customWidth="1"/>
    <col min="5385" max="5385" width="12" style="423" customWidth="1"/>
    <col min="5386" max="5386" width="11.140625" style="423" customWidth="1"/>
    <col min="5387" max="5387" width="15.7109375" style="423" customWidth="1"/>
    <col min="5388" max="5632" width="9.140625" style="423"/>
    <col min="5633" max="5633" width="13.28515625" style="423" customWidth="1"/>
    <col min="5634" max="5634" width="10" style="423" customWidth="1"/>
    <col min="5635" max="5635" width="13" style="423" customWidth="1"/>
    <col min="5636" max="5636" width="10.7109375" style="423" customWidth="1"/>
    <col min="5637" max="5637" width="10.42578125" style="423" customWidth="1"/>
    <col min="5638" max="5638" width="12" style="423" customWidth="1"/>
    <col min="5639" max="5640" width="11" style="423" customWidth="1"/>
    <col min="5641" max="5641" width="12" style="423" customWidth="1"/>
    <col min="5642" max="5642" width="11.140625" style="423" customWidth="1"/>
    <col min="5643" max="5643" width="15.7109375" style="423" customWidth="1"/>
    <col min="5644" max="5888" width="9.140625" style="423"/>
    <col min="5889" max="5889" width="13.28515625" style="423" customWidth="1"/>
    <col min="5890" max="5890" width="10" style="423" customWidth="1"/>
    <col min="5891" max="5891" width="13" style="423" customWidth="1"/>
    <col min="5892" max="5892" width="10.7109375" style="423" customWidth="1"/>
    <col min="5893" max="5893" width="10.42578125" style="423" customWidth="1"/>
    <col min="5894" max="5894" width="12" style="423" customWidth="1"/>
    <col min="5895" max="5896" width="11" style="423" customWidth="1"/>
    <col min="5897" max="5897" width="12" style="423" customWidth="1"/>
    <col min="5898" max="5898" width="11.140625" style="423" customWidth="1"/>
    <col min="5899" max="5899" width="15.7109375" style="423" customWidth="1"/>
    <col min="5900" max="6144" width="9.140625" style="423"/>
    <col min="6145" max="6145" width="13.28515625" style="423" customWidth="1"/>
    <col min="6146" max="6146" width="10" style="423" customWidth="1"/>
    <col min="6147" max="6147" width="13" style="423" customWidth="1"/>
    <col min="6148" max="6148" width="10.7109375" style="423" customWidth="1"/>
    <col min="6149" max="6149" width="10.42578125" style="423" customWidth="1"/>
    <col min="6150" max="6150" width="12" style="423" customWidth="1"/>
    <col min="6151" max="6152" width="11" style="423" customWidth="1"/>
    <col min="6153" max="6153" width="12" style="423" customWidth="1"/>
    <col min="6154" max="6154" width="11.140625" style="423" customWidth="1"/>
    <col min="6155" max="6155" width="15.7109375" style="423" customWidth="1"/>
    <col min="6156" max="6400" width="9.140625" style="423"/>
    <col min="6401" max="6401" width="13.28515625" style="423" customWidth="1"/>
    <col min="6402" max="6402" width="10" style="423" customWidth="1"/>
    <col min="6403" max="6403" width="13" style="423" customWidth="1"/>
    <col min="6404" max="6404" width="10.7109375" style="423" customWidth="1"/>
    <col min="6405" max="6405" width="10.42578125" style="423" customWidth="1"/>
    <col min="6406" max="6406" width="12" style="423" customWidth="1"/>
    <col min="6407" max="6408" width="11" style="423" customWidth="1"/>
    <col min="6409" max="6409" width="12" style="423" customWidth="1"/>
    <col min="6410" max="6410" width="11.140625" style="423" customWidth="1"/>
    <col min="6411" max="6411" width="15.7109375" style="423" customWidth="1"/>
    <col min="6412" max="6656" width="9.140625" style="423"/>
    <col min="6657" max="6657" width="13.28515625" style="423" customWidth="1"/>
    <col min="6658" max="6658" width="10" style="423" customWidth="1"/>
    <col min="6659" max="6659" width="13" style="423" customWidth="1"/>
    <col min="6660" max="6660" width="10.7109375" style="423" customWidth="1"/>
    <col min="6661" max="6661" width="10.42578125" style="423" customWidth="1"/>
    <col min="6662" max="6662" width="12" style="423" customWidth="1"/>
    <col min="6663" max="6664" width="11" style="423" customWidth="1"/>
    <col min="6665" max="6665" width="12" style="423" customWidth="1"/>
    <col min="6666" max="6666" width="11.140625" style="423" customWidth="1"/>
    <col min="6667" max="6667" width="15.7109375" style="423" customWidth="1"/>
    <col min="6668" max="6912" width="9.140625" style="423"/>
    <col min="6913" max="6913" width="13.28515625" style="423" customWidth="1"/>
    <col min="6914" max="6914" width="10" style="423" customWidth="1"/>
    <col min="6915" max="6915" width="13" style="423" customWidth="1"/>
    <col min="6916" max="6916" width="10.7109375" style="423" customWidth="1"/>
    <col min="6917" max="6917" width="10.42578125" style="423" customWidth="1"/>
    <col min="6918" max="6918" width="12" style="423" customWidth="1"/>
    <col min="6919" max="6920" width="11" style="423" customWidth="1"/>
    <col min="6921" max="6921" width="12" style="423" customWidth="1"/>
    <col min="6922" max="6922" width="11.140625" style="423" customWidth="1"/>
    <col min="6923" max="6923" width="15.7109375" style="423" customWidth="1"/>
    <col min="6924" max="7168" width="9.140625" style="423"/>
    <col min="7169" max="7169" width="13.28515625" style="423" customWidth="1"/>
    <col min="7170" max="7170" width="10" style="423" customWidth="1"/>
    <col min="7171" max="7171" width="13" style="423" customWidth="1"/>
    <col min="7172" max="7172" width="10.7109375" style="423" customWidth="1"/>
    <col min="7173" max="7173" width="10.42578125" style="423" customWidth="1"/>
    <col min="7174" max="7174" width="12" style="423" customWidth="1"/>
    <col min="7175" max="7176" width="11" style="423" customWidth="1"/>
    <col min="7177" max="7177" width="12" style="423" customWidth="1"/>
    <col min="7178" max="7178" width="11.140625" style="423" customWidth="1"/>
    <col min="7179" max="7179" width="15.7109375" style="423" customWidth="1"/>
    <col min="7180" max="7424" width="9.140625" style="423"/>
    <col min="7425" max="7425" width="13.28515625" style="423" customWidth="1"/>
    <col min="7426" max="7426" width="10" style="423" customWidth="1"/>
    <col min="7427" max="7427" width="13" style="423" customWidth="1"/>
    <col min="7428" max="7428" width="10.7109375" style="423" customWidth="1"/>
    <col min="7429" max="7429" width="10.42578125" style="423" customWidth="1"/>
    <col min="7430" max="7430" width="12" style="423" customWidth="1"/>
    <col min="7431" max="7432" width="11" style="423" customWidth="1"/>
    <col min="7433" max="7433" width="12" style="423" customWidth="1"/>
    <col min="7434" max="7434" width="11.140625" style="423" customWidth="1"/>
    <col min="7435" max="7435" width="15.7109375" style="423" customWidth="1"/>
    <col min="7436" max="7680" width="9.140625" style="423"/>
    <col min="7681" max="7681" width="13.28515625" style="423" customWidth="1"/>
    <col min="7682" max="7682" width="10" style="423" customWidth="1"/>
    <col min="7683" max="7683" width="13" style="423" customWidth="1"/>
    <col min="7684" max="7684" width="10.7109375" style="423" customWidth="1"/>
    <col min="7685" max="7685" width="10.42578125" style="423" customWidth="1"/>
    <col min="7686" max="7686" width="12" style="423" customWidth="1"/>
    <col min="7687" max="7688" width="11" style="423" customWidth="1"/>
    <col min="7689" max="7689" width="12" style="423" customWidth="1"/>
    <col min="7690" max="7690" width="11.140625" style="423" customWidth="1"/>
    <col min="7691" max="7691" width="15.7109375" style="423" customWidth="1"/>
    <col min="7692" max="7936" width="9.140625" style="423"/>
    <col min="7937" max="7937" width="13.28515625" style="423" customWidth="1"/>
    <col min="7938" max="7938" width="10" style="423" customWidth="1"/>
    <col min="7939" max="7939" width="13" style="423" customWidth="1"/>
    <col min="7940" max="7940" width="10.7109375" style="423" customWidth="1"/>
    <col min="7941" max="7941" width="10.42578125" style="423" customWidth="1"/>
    <col min="7942" max="7942" width="12" style="423" customWidth="1"/>
    <col min="7943" max="7944" width="11" style="423" customWidth="1"/>
    <col min="7945" max="7945" width="12" style="423" customWidth="1"/>
    <col min="7946" max="7946" width="11.140625" style="423" customWidth="1"/>
    <col min="7947" max="7947" width="15.7109375" style="423" customWidth="1"/>
    <col min="7948" max="8192" width="9.140625" style="423"/>
    <col min="8193" max="8193" width="13.28515625" style="423" customWidth="1"/>
    <col min="8194" max="8194" width="10" style="423" customWidth="1"/>
    <col min="8195" max="8195" width="13" style="423" customWidth="1"/>
    <col min="8196" max="8196" width="10.7109375" style="423" customWidth="1"/>
    <col min="8197" max="8197" width="10.42578125" style="423" customWidth="1"/>
    <col min="8198" max="8198" width="12" style="423" customWidth="1"/>
    <col min="8199" max="8200" width="11" style="423" customWidth="1"/>
    <col min="8201" max="8201" width="12" style="423" customWidth="1"/>
    <col min="8202" max="8202" width="11.140625" style="423" customWidth="1"/>
    <col min="8203" max="8203" width="15.7109375" style="423" customWidth="1"/>
    <col min="8204" max="8448" width="9.140625" style="423"/>
    <col min="8449" max="8449" width="13.28515625" style="423" customWidth="1"/>
    <col min="8450" max="8450" width="10" style="423" customWidth="1"/>
    <col min="8451" max="8451" width="13" style="423" customWidth="1"/>
    <col min="8452" max="8452" width="10.7109375" style="423" customWidth="1"/>
    <col min="8453" max="8453" width="10.42578125" style="423" customWidth="1"/>
    <col min="8454" max="8454" width="12" style="423" customWidth="1"/>
    <col min="8455" max="8456" width="11" style="423" customWidth="1"/>
    <col min="8457" max="8457" width="12" style="423" customWidth="1"/>
    <col min="8458" max="8458" width="11.140625" style="423" customWidth="1"/>
    <col min="8459" max="8459" width="15.7109375" style="423" customWidth="1"/>
    <col min="8460" max="8704" width="9.140625" style="423"/>
    <col min="8705" max="8705" width="13.28515625" style="423" customWidth="1"/>
    <col min="8706" max="8706" width="10" style="423" customWidth="1"/>
    <col min="8707" max="8707" width="13" style="423" customWidth="1"/>
    <col min="8708" max="8708" width="10.7109375" style="423" customWidth="1"/>
    <col min="8709" max="8709" width="10.42578125" style="423" customWidth="1"/>
    <col min="8710" max="8710" width="12" style="423" customWidth="1"/>
    <col min="8711" max="8712" width="11" style="423" customWidth="1"/>
    <col min="8713" max="8713" width="12" style="423" customWidth="1"/>
    <col min="8714" max="8714" width="11.140625" style="423" customWidth="1"/>
    <col min="8715" max="8715" width="15.7109375" style="423" customWidth="1"/>
    <col min="8716" max="8960" width="9.140625" style="423"/>
    <col min="8961" max="8961" width="13.28515625" style="423" customWidth="1"/>
    <col min="8962" max="8962" width="10" style="423" customWidth="1"/>
    <col min="8963" max="8963" width="13" style="423" customWidth="1"/>
    <col min="8964" max="8964" width="10.7109375" style="423" customWidth="1"/>
    <col min="8965" max="8965" width="10.42578125" style="423" customWidth="1"/>
    <col min="8966" max="8966" width="12" style="423" customWidth="1"/>
    <col min="8967" max="8968" width="11" style="423" customWidth="1"/>
    <col min="8969" max="8969" width="12" style="423" customWidth="1"/>
    <col min="8970" max="8970" width="11.140625" style="423" customWidth="1"/>
    <col min="8971" max="8971" width="15.7109375" style="423" customWidth="1"/>
    <col min="8972" max="9216" width="9.140625" style="423"/>
    <col min="9217" max="9217" width="13.28515625" style="423" customWidth="1"/>
    <col min="9218" max="9218" width="10" style="423" customWidth="1"/>
    <col min="9219" max="9219" width="13" style="423" customWidth="1"/>
    <col min="9220" max="9220" width="10.7109375" style="423" customWidth="1"/>
    <col min="9221" max="9221" width="10.42578125" style="423" customWidth="1"/>
    <col min="9222" max="9222" width="12" style="423" customWidth="1"/>
    <col min="9223" max="9224" width="11" style="423" customWidth="1"/>
    <col min="9225" max="9225" width="12" style="423" customWidth="1"/>
    <col min="9226" max="9226" width="11.140625" style="423" customWidth="1"/>
    <col min="9227" max="9227" width="15.7109375" style="423" customWidth="1"/>
    <col min="9228" max="9472" width="9.140625" style="423"/>
    <col min="9473" max="9473" width="13.28515625" style="423" customWidth="1"/>
    <col min="9474" max="9474" width="10" style="423" customWidth="1"/>
    <col min="9475" max="9475" width="13" style="423" customWidth="1"/>
    <col min="9476" max="9476" width="10.7109375" style="423" customWidth="1"/>
    <col min="9477" max="9477" width="10.42578125" style="423" customWidth="1"/>
    <col min="9478" max="9478" width="12" style="423" customWidth="1"/>
    <col min="9479" max="9480" width="11" style="423" customWidth="1"/>
    <col min="9481" max="9481" width="12" style="423" customWidth="1"/>
    <col min="9482" max="9482" width="11.140625" style="423" customWidth="1"/>
    <col min="9483" max="9483" width="15.7109375" style="423" customWidth="1"/>
    <col min="9484" max="9728" width="9.140625" style="423"/>
    <col min="9729" max="9729" width="13.28515625" style="423" customWidth="1"/>
    <col min="9730" max="9730" width="10" style="423" customWidth="1"/>
    <col min="9731" max="9731" width="13" style="423" customWidth="1"/>
    <col min="9732" max="9732" width="10.7109375" style="423" customWidth="1"/>
    <col min="9733" max="9733" width="10.42578125" style="423" customWidth="1"/>
    <col min="9734" max="9734" width="12" style="423" customWidth="1"/>
    <col min="9735" max="9736" width="11" style="423" customWidth="1"/>
    <col min="9737" max="9737" width="12" style="423" customWidth="1"/>
    <col min="9738" max="9738" width="11.140625" style="423" customWidth="1"/>
    <col min="9739" max="9739" width="15.7109375" style="423" customWidth="1"/>
    <col min="9740" max="9984" width="9.140625" style="423"/>
    <col min="9985" max="9985" width="13.28515625" style="423" customWidth="1"/>
    <col min="9986" max="9986" width="10" style="423" customWidth="1"/>
    <col min="9987" max="9987" width="13" style="423" customWidth="1"/>
    <col min="9988" max="9988" width="10.7109375" style="423" customWidth="1"/>
    <col min="9989" max="9989" width="10.42578125" style="423" customWidth="1"/>
    <col min="9990" max="9990" width="12" style="423" customWidth="1"/>
    <col min="9991" max="9992" width="11" style="423" customWidth="1"/>
    <col min="9993" max="9993" width="12" style="423" customWidth="1"/>
    <col min="9994" max="9994" width="11.140625" style="423" customWidth="1"/>
    <col min="9995" max="9995" width="15.7109375" style="423" customWidth="1"/>
    <col min="9996" max="10240" width="9.140625" style="423"/>
    <col min="10241" max="10241" width="13.28515625" style="423" customWidth="1"/>
    <col min="10242" max="10242" width="10" style="423" customWidth="1"/>
    <col min="10243" max="10243" width="13" style="423" customWidth="1"/>
    <col min="10244" max="10244" width="10.7109375" style="423" customWidth="1"/>
    <col min="10245" max="10245" width="10.42578125" style="423" customWidth="1"/>
    <col min="10246" max="10246" width="12" style="423" customWidth="1"/>
    <col min="10247" max="10248" width="11" style="423" customWidth="1"/>
    <col min="10249" max="10249" width="12" style="423" customWidth="1"/>
    <col min="10250" max="10250" width="11.140625" style="423" customWidth="1"/>
    <col min="10251" max="10251" width="15.7109375" style="423" customWidth="1"/>
    <col min="10252" max="10496" width="9.140625" style="423"/>
    <col min="10497" max="10497" width="13.28515625" style="423" customWidth="1"/>
    <col min="10498" max="10498" width="10" style="423" customWidth="1"/>
    <col min="10499" max="10499" width="13" style="423" customWidth="1"/>
    <col min="10500" max="10500" width="10.7109375" style="423" customWidth="1"/>
    <col min="10501" max="10501" width="10.42578125" style="423" customWidth="1"/>
    <col min="10502" max="10502" width="12" style="423" customWidth="1"/>
    <col min="10503" max="10504" width="11" style="423" customWidth="1"/>
    <col min="10505" max="10505" width="12" style="423" customWidth="1"/>
    <col min="10506" max="10506" width="11.140625" style="423" customWidth="1"/>
    <col min="10507" max="10507" width="15.7109375" style="423" customWidth="1"/>
    <col min="10508" max="10752" width="9.140625" style="423"/>
    <col min="10753" max="10753" width="13.28515625" style="423" customWidth="1"/>
    <col min="10754" max="10754" width="10" style="423" customWidth="1"/>
    <col min="10755" max="10755" width="13" style="423" customWidth="1"/>
    <col min="10756" max="10756" width="10.7109375" style="423" customWidth="1"/>
    <col min="10757" max="10757" width="10.42578125" style="423" customWidth="1"/>
    <col min="10758" max="10758" width="12" style="423" customWidth="1"/>
    <col min="10759" max="10760" width="11" style="423" customWidth="1"/>
    <col min="10761" max="10761" width="12" style="423" customWidth="1"/>
    <col min="10762" max="10762" width="11.140625" style="423" customWidth="1"/>
    <col min="10763" max="10763" width="15.7109375" style="423" customWidth="1"/>
    <col min="10764" max="11008" width="9.140625" style="423"/>
    <col min="11009" max="11009" width="13.28515625" style="423" customWidth="1"/>
    <col min="11010" max="11010" width="10" style="423" customWidth="1"/>
    <col min="11011" max="11011" width="13" style="423" customWidth="1"/>
    <col min="11012" max="11012" width="10.7109375" style="423" customWidth="1"/>
    <col min="11013" max="11013" width="10.42578125" style="423" customWidth="1"/>
    <col min="11014" max="11014" width="12" style="423" customWidth="1"/>
    <col min="11015" max="11016" width="11" style="423" customWidth="1"/>
    <col min="11017" max="11017" width="12" style="423" customWidth="1"/>
    <col min="11018" max="11018" width="11.140625" style="423" customWidth="1"/>
    <col min="11019" max="11019" width="15.7109375" style="423" customWidth="1"/>
    <col min="11020" max="11264" width="9.140625" style="423"/>
    <col min="11265" max="11265" width="13.28515625" style="423" customWidth="1"/>
    <col min="11266" max="11266" width="10" style="423" customWidth="1"/>
    <col min="11267" max="11267" width="13" style="423" customWidth="1"/>
    <col min="11268" max="11268" width="10.7109375" style="423" customWidth="1"/>
    <col min="11269" max="11269" width="10.42578125" style="423" customWidth="1"/>
    <col min="11270" max="11270" width="12" style="423" customWidth="1"/>
    <col min="11271" max="11272" width="11" style="423" customWidth="1"/>
    <col min="11273" max="11273" width="12" style="423" customWidth="1"/>
    <col min="11274" max="11274" width="11.140625" style="423" customWidth="1"/>
    <col min="11275" max="11275" width="15.7109375" style="423" customWidth="1"/>
    <col min="11276" max="11520" width="9.140625" style="423"/>
    <col min="11521" max="11521" width="13.28515625" style="423" customWidth="1"/>
    <col min="11522" max="11522" width="10" style="423" customWidth="1"/>
    <col min="11523" max="11523" width="13" style="423" customWidth="1"/>
    <col min="11524" max="11524" width="10.7109375" style="423" customWidth="1"/>
    <col min="11525" max="11525" width="10.42578125" style="423" customWidth="1"/>
    <col min="11526" max="11526" width="12" style="423" customWidth="1"/>
    <col min="11527" max="11528" width="11" style="423" customWidth="1"/>
    <col min="11529" max="11529" width="12" style="423" customWidth="1"/>
    <col min="11530" max="11530" width="11.140625" style="423" customWidth="1"/>
    <col min="11531" max="11531" width="15.7109375" style="423" customWidth="1"/>
    <col min="11532" max="11776" width="9.140625" style="423"/>
    <col min="11777" max="11777" width="13.28515625" style="423" customWidth="1"/>
    <col min="11778" max="11778" width="10" style="423" customWidth="1"/>
    <col min="11779" max="11779" width="13" style="423" customWidth="1"/>
    <col min="11780" max="11780" width="10.7109375" style="423" customWidth="1"/>
    <col min="11781" max="11781" width="10.42578125" style="423" customWidth="1"/>
    <col min="11782" max="11782" width="12" style="423" customWidth="1"/>
    <col min="11783" max="11784" width="11" style="423" customWidth="1"/>
    <col min="11785" max="11785" width="12" style="423" customWidth="1"/>
    <col min="11786" max="11786" width="11.140625" style="423" customWidth="1"/>
    <col min="11787" max="11787" width="15.7109375" style="423" customWidth="1"/>
    <col min="11788" max="12032" width="9.140625" style="423"/>
    <col min="12033" max="12033" width="13.28515625" style="423" customWidth="1"/>
    <col min="12034" max="12034" width="10" style="423" customWidth="1"/>
    <col min="12035" max="12035" width="13" style="423" customWidth="1"/>
    <col min="12036" max="12036" width="10.7109375" style="423" customWidth="1"/>
    <col min="12037" max="12037" width="10.42578125" style="423" customWidth="1"/>
    <col min="12038" max="12038" width="12" style="423" customWidth="1"/>
    <col min="12039" max="12040" width="11" style="423" customWidth="1"/>
    <col min="12041" max="12041" width="12" style="423" customWidth="1"/>
    <col min="12042" max="12042" width="11.140625" style="423" customWidth="1"/>
    <col min="12043" max="12043" width="15.7109375" style="423" customWidth="1"/>
    <col min="12044" max="12288" width="9.140625" style="423"/>
    <col min="12289" max="12289" width="13.28515625" style="423" customWidth="1"/>
    <col min="12290" max="12290" width="10" style="423" customWidth="1"/>
    <col min="12291" max="12291" width="13" style="423" customWidth="1"/>
    <col min="12292" max="12292" width="10.7109375" style="423" customWidth="1"/>
    <col min="12293" max="12293" width="10.42578125" style="423" customWidth="1"/>
    <col min="12294" max="12294" width="12" style="423" customWidth="1"/>
    <col min="12295" max="12296" width="11" style="423" customWidth="1"/>
    <col min="12297" max="12297" width="12" style="423" customWidth="1"/>
    <col min="12298" max="12298" width="11.140625" style="423" customWidth="1"/>
    <col min="12299" max="12299" width="15.7109375" style="423" customWidth="1"/>
    <col min="12300" max="12544" width="9.140625" style="423"/>
    <col min="12545" max="12545" width="13.28515625" style="423" customWidth="1"/>
    <col min="12546" max="12546" width="10" style="423" customWidth="1"/>
    <col min="12547" max="12547" width="13" style="423" customWidth="1"/>
    <col min="12548" max="12548" width="10.7109375" style="423" customWidth="1"/>
    <col min="12549" max="12549" width="10.42578125" style="423" customWidth="1"/>
    <col min="12550" max="12550" width="12" style="423" customWidth="1"/>
    <col min="12551" max="12552" width="11" style="423" customWidth="1"/>
    <col min="12553" max="12553" width="12" style="423" customWidth="1"/>
    <col min="12554" max="12554" width="11.140625" style="423" customWidth="1"/>
    <col min="12555" max="12555" width="15.7109375" style="423" customWidth="1"/>
    <col min="12556" max="12800" width="9.140625" style="423"/>
    <col min="12801" max="12801" width="13.28515625" style="423" customWidth="1"/>
    <col min="12802" max="12802" width="10" style="423" customWidth="1"/>
    <col min="12803" max="12803" width="13" style="423" customWidth="1"/>
    <col min="12804" max="12804" width="10.7109375" style="423" customWidth="1"/>
    <col min="12805" max="12805" width="10.42578125" style="423" customWidth="1"/>
    <col min="12806" max="12806" width="12" style="423" customWidth="1"/>
    <col min="12807" max="12808" width="11" style="423" customWidth="1"/>
    <col min="12809" max="12809" width="12" style="423" customWidth="1"/>
    <col min="12810" max="12810" width="11.140625" style="423" customWidth="1"/>
    <col min="12811" max="12811" width="15.7109375" style="423" customWidth="1"/>
    <col min="12812" max="13056" width="9.140625" style="423"/>
    <col min="13057" max="13057" width="13.28515625" style="423" customWidth="1"/>
    <col min="13058" max="13058" width="10" style="423" customWidth="1"/>
    <col min="13059" max="13059" width="13" style="423" customWidth="1"/>
    <col min="13060" max="13060" width="10.7109375" style="423" customWidth="1"/>
    <col min="13061" max="13061" width="10.42578125" style="423" customWidth="1"/>
    <col min="13062" max="13062" width="12" style="423" customWidth="1"/>
    <col min="13063" max="13064" width="11" style="423" customWidth="1"/>
    <col min="13065" max="13065" width="12" style="423" customWidth="1"/>
    <col min="13066" max="13066" width="11.140625" style="423" customWidth="1"/>
    <col min="13067" max="13067" width="15.7109375" style="423" customWidth="1"/>
    <col min="13068" max="13312" width="9.140625" style="423"/>
    <col min="13313" max="13313" width="13.28515625" style="423" customWidth="1"/>
    <col min="13314" max="13314" width="10" style="423" customWidth="1"/>
    <col min="13315" max="13315" width="13" style="423" customWidth="1"/>
    <col min="13316" max="13316" width="10.7109375" style="423" customWidth="1"/>
    <col min="13317" max="13317" width="10.42578125" style="423" customWidth="1"/>
    <col min="13318" max="13318" width="12" style="423" customWidth="1"/>
    <col min="13319" max="13320" width="11" style="423" customWidth="1"/>
    <col min="13321" max="13321" width="12" style="423" customWidth="1"/>
    <col min="13322" max="13322" width="11.140625" style="423" customWidth="1"/>
    <col min="13323" max="13323" width="15.7109375" style="423" customWidth="1"/>
    <col min="13324" max="13568" width="9.140625" style="423"/>
    <col min="13569" max="13569" width="13.28515625" style="423" customWidth="1"/>
    <col min="13570" max="13570" width="10" style="423" customWidth="1"/>
    <col min="13571" max="13571" width="13" style="423" customWidth="1"/>
    <col min="13572" max="13572" width="10.7109375" style="423" customWidth="1"/>
    <col min="13573" max="13573" width="10.42578125" style="423" customWidth="1"/>
    <col min="13574" max="13574" width="12" style="423" customWidth="1"/>
    <col min="13575" max="13576" width="11" style="423" customWidth="1"/>
    <col min="13577" max="13577" width="12" style="423" customWidth="1"/>
    <col min="13578" max="13578" width="11.140625" style="423" customWidth="1"/>
    <col min="13579" max="13579" width="15.7109375" style="423" customWidth="1"/>
    <col min="13580" max="13824" width="9.140625" style="423"/>
    <col min="13825" max="13825" width="13.28515625" style="423" customWidth="1"/>
    <col min="13826" max="13826" width="10" style="423" customWidth="1"/>
    <col min="13827" max="13827" width="13" style="423" customWidth="1"/>
    <col min="13828" max="13828" width="10.7109375" style="423" customWidth="1"/>
    <col min="13829" max="13829" width="10.42578125" style="423" customWidth="1"/>
    <col min="13830" max="13830" width="12" style="423" customWidth="1"/>
    <col min="13831" max="13832" width="11" style="423" customWidth="1"/>
    <col min="13833" max="13833" width="12" style="423" customWidth="1"/>
    <col min="13834" max="13834" width="11.140625" style="423" customWidth="1"/>
    <col min="13835" max="13835" width="15.7109375" style="423" customWidth="1"/>
    <col min="13836" max="14080" width="9.140625" style="423"/>
    <col min="14081" max="14081" width="13.28515625" style="423" customWidth="1"/>
    <col min="14082" max="14082" width="10" style="423" customWidth="1"/>
    <col min="14083" max="14083" width="13" style="423" customWidth="1"/>
    <col min="14084" max="14084" width="10.7109375" style="423" customWidth="1"/>
    <col min="14085" max="14085" width="10.42578125" style="423" customWidth="1"/>
    <col min="14086" max="14086" width="12" style="423" customWidth="1"/>
    <col min="14087" max="14088" width="11" style="423" customWidth="1"/>
    <col min="14089" max="14089" width="12" style="423" customWidth="1"/>
    <col min="14090" max="14090" width="11.140625" style="423" customWidth="1"/>
    <col min="14091" max="14091" width="15.7109375" style="423" customWidth="1"/>
    <col min="14092" max="14336" width="9.140625" style="423"/>
    <col min="14337" max="14337" width="13.28515625" style="423" customWidth="1"/>
    <col min="14338" max="14338" width="10" style="423" customWidth="1"/>
    <col min="14339" max="14339" width="13" style="423" customWidth="1"/>
    <col min="14340" max="14340" width="10.7109375" style="423" customWidth="1"/>
    <col min="14341" max="14341" width="10.42578125" style="423" customWidth="1"/>
    <col min="14342" max="14342" width="12" style="423" customWidth="1"/>
    <col min="14343" max="14344" width="11" style="423" customWidth="1"/>
    <col min="14345" max="14345" width="12" style="423" customWidth="1"/>
    <col min="14346" max="14346" width="11.140625" style="423" customWidth="1"/>
    <col min="14347" max="14347" width="15.7109375" style="423" customWidth="1"/>
    <col min="14348" max="14592" width="9.140625" style="423"/>
    <col min="14593" max="14593" width="13.28515625" style="423" customWidth="1"/>
    <col min="14594" max="14594" width="10" style="423" customWidth="1"/>
    <col min="14595" max="14595" width="13" style="423" customWidth="1"/>
    <col min="14596" max="14596" width="10.7109375" style="423" customWidth="1"/>
    <col min="14597" max="14597" width="10.42578125" style="423" customWidth="1"/>
    <col min="14598" max="14598" width="12" style="423" customWidth="1"/>
    <col min="14599" max="14600" width="11" style="423" customWidth="1"/>
    <col min="14601" max="14601" width="12" style="423" customWidth="1"/>
    <col min="14602" max="14602" width="11.140625" style="423" customWidth="1"/>
    <col min="14603" max="14603" width="15.7109375" style="423" customWidth="1"/>
    <col min="14604" max="14848" width="9.140625" style="423"/>
    <col min="14849" max="14849" width="13.28515625" style="423" customWidth="1"/>
    <col min="14850" max="14850" width="10" style="423" customWidth="1"/>
    <col min="14851" max="14851" width="13" style="423" customWidth="1"/>
    <col min="14852" max="14852" width="10.7109375" style="423" customWidth="1"/>
    <col min="14853" max="14853" width="10.42578125" style="423" customWidth="1"/>
    <col min="14854" max="14854" width="12" style="423" customWidth="1"/>
    <col min="14855" max="14856" width="11" style="423" customWidth="1"/>
    <col min="14857" max="14857" width="12" style="423" customWidth="1"/>
    <col min="14858" max="14858" width="11.140625" style="423" customWidth="1"/>
    <col min="14859" max="14859" width="15.7109375" style="423" customWidth="1"/>
    <col min="14860" max="15104" width="9.140625" style="423"/>
    <col min="15105" max="15105" width="13.28515625" style="423" customWidth="1"/>
    <col min="15106" max="15106" width="10" style="423" customWidth="1"/>
    <col min="15107" max="15107" width="13" style="423" customWidth="1"/>
    <col min="15108" max="15108" width="10.7109375" style="423" customWidth="1"/>
    <col min="15109" max="15109" width="10.42578125" style="423" customWidth="1"/>
    <col min="15110" max="15110" width="12" style="423" customWidth="1"/>
    <col min="15111" max="15112" width="11" style="423" customWidth="1"/>
    <col min="15113" max="15113" width="12" style="423" customWidth="1"/>
    <col min="15114" max="15114" width="11.140625" style="423" customWidth="1"/>
    <col min="15115" max="15115" width="15.7109375" style="423" customWidth="1"/>
    <col min="15116" max="15360" width="9.140625" style="423"/>
    <col min="15361" max="15361" width="13.28515625" style="423" customWidth="1"/>
    <col min="15362" max="15362" width="10" style="423" customWidth="1"/>
    <col min="15363" max="15363" width="13" style="423" customWidth="1"/>
    <col min="15364" max="15364" width="10.7109375" style="423" customWidth="1"/>
    <col min="15365" max="15365" width="10.42578125" style="423" customWidth="1"/>
    <col min="15366" max="15366" width="12" style="423" customWidth="1"/>
    <col min="15367" max="15368" width="11" style="423" customWidth="1"/>
    <col min="15369" max="15369" width="12" style="423" customWidth="1"/>
    <col min="15370" max="15370" width="11.140625" style="423" customWidth="1"/>
    <col min="15371" max="15371" width="15.7109375" style="423" customWidth="1"/>
    <col min="15372" max="15616" width="9.140625" style="423"/>
    <col min="15617" max="15617" width="13.28515625" style="423" customWidth="1"/>
    <col min="15618" max="15618" width="10" style="423" customWidth="1"/>
    <col min="15619" max="15619" width="13" style="423" customWidth="1"/>
    <col min="15620" max="15620" width="10.7109375" style="423" customWidth="1"/>
    <col min="15621" max="15621" width="10.42578125" style="423" customWidth="1"/>
    <col min="15622" max="15622" width="12" style="423" customWidth="1"/>
    <col min="15623" max="15624" width="11" style="423" customWidth="1"/>
    <col min="15625" max="15625" width="12" style="423" customWidth="1"/>
    <col min="15626" max="15626" width="11.140625" style="423" customWidth="1"/>
    <col min="15627" max="15627" width="15.7109375" style="423" customWidth="1"/>
    <col min="15628" max="15872" width="9.140625" style="423"/>
    <col min="15873" max="15873" width="13.28515625" style="423" customWidth="1"/>
    <col min="15874" max="15874" width="10" style="423" customWidth="1"/>
    <col min="15875" max="15875" width="13" style="423" customWidth="1"/>
    <col min="15876" max="15876" width="10.7109375" style="423" customWidth="1"/>
    <col min="15877" max="15877" width="10.42578125" style="423" customWidth="1"/>
    <col min="15878" max="15878" width="12" style="423" customWidth="1"/>
    <col min="15879" max="15880" width="11" style="423" customWidth="1"/>
    <col min="15881" max="15881" width="12" style="423" customWidth="1"/>
    <col min="15882" max="15882" width="11.140625" style="423" customWidth="1"/>
    <col min="15883" max="15883" width="15.7109375" style="423" customWidth="1"/>
    <col min="15884" max="16128" width="9.140625" style="423"/>
    <col min="16129" max="16129" width="13.28515625" style="423" customWidth="1"/>
    <col min="16130" max="16130" width="10" style="423" customWidth="1"/>
    <col min="16131" max="16131" width="13" style="423" customWidth="1"/>
    <col min="16132" max="16132" width="10.7109375" style="423" customWidth="1"/>
    <col min="16133" max="16133" width="10.42578125" style="423" customWidth="1"/>
    <col min="16134" max="16134" width="12" style="423" customWidth="1"/>
    <col min="16135" max="16136" width="11" style="423" customWidth="1"/>
    <col min="16137" max="16137" width="12" style="423" customWidth="1"/>
    <col min="16138" max="16138" width="11.140625" style="423" customWidth="1"/>
    <col min="16139" max="16139" width="15.7109375" style="423" customWidth="1"/>
    <col min="16140" max="16384" width="9.140625" style="423"/>
  </cols>
  <sheetData>
    <row r="1" spans="1:11" s="422" customFormat="1">
      <c r="A1" s="1274" t="s">
        <v>1835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</row>
    <row r="2" spans="1:11" s="422" customFormat="1">
      <c r="A2" s="1274" t="s">
        <v>680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</row>
    <row r="3" spans="1:11" ht="13.5" customHeight="1"/>
    <row r="4" spans="1:11" s="422" customFormat="1" ht="30" customHeight="1">
      <c r="A4" s="1275" t="s">
        <v>1836</v>
      </c>
      <c r="B4" s="1276" t="s">
        <v>690</v>
      </c>
      <c r="C4" s="1276" t="s">
        <v>690</v>
      </c>
      <c r="D4" s="1276" t="s">
        <v>690</v>
      </c>
      <c r="E4" s="1276" t="s">
        <v>690</v>
      </c>
      <c r="F4" s="1276" t="s">
        <v>690</v>
      </c>
      <c r="G4" s="1276" t="s">
        <v>690</v>
      </c>
      <c r="H4" s="1276" t="s">
        <v>690</v>
      </c>
      <c r="I4" s="1276" t="s">
        <v>690</v>
      </c>
      <c r="J4" s="1276" t="s">
        <v>690</v>
      </c>
      <c r="K4" s="1277" t="s">
        <v>690</v>
      </c>
    </row>
    <row r="5" spans="1:11" s="422" customFormat="1" ht="26.25" customHeight="1">
      <c r="A5" s="1275" t="s">
        <v>1837</v>
      </c>
      <c r="B5" s="1276" t="s">
        <v>690</v>
      </c>
      <c r="C5" s="1276" t="s">
        <v>690</v>
      </c>
      <c r="D5" s="1276" t="s">
        <v>690</v>
      </c>
      <c r="E5" s="1276" t="s">
        <v>690</v>
      </c>
      <c r="F5" s="1276" t="s">
        <v>690</v>
      </c>
      <c r="G5" s="1276" t="s">
        <v>690</v>
      </c>
      <c r="H5" s="1276" t="s">
        <v>690</v>
      </c>
      <c r="I5" s="1276" t="s">
        <v>690</v>
      </c>
      <c r="J5" s="1276" t="s">
        <v>690</v>
      </c>
      <c r="K5" s="1277" t="s">
        <v>690</v>
      </c>
    </row>
    <row r="6" spans="1:11" s="422" customFormat="1">
      <c r="A6" s="424" t="s">
        <v>1838</v>
      </c>
      <c r="B6" s="1278" t="s">
        <v>690</v>
      </c>
      <c r="C6" s="1278" t="s">
        <v>690</v>
      </c>
      <c r="D6" s="1278" t="s">
        <v>690</v>
      </c>
      <c r="E6" s="1278" t="s">
        <v>690</v>
      </c>
      <c r="F6" s="1278" t="s">
        <v>690</v>
      </c>
      <c r="G6" s="1278" t="s">
        <v>690</v>
      </c>
      <c r="H6" s="1278" t="s">
        <v>690</v>
      </c>
      <c r="I6" s="1278" t="s">
        <v>690</v>
      </c>
      <c r="J6" s="1278" t="s">
        <v>690</v>
      </c>
      <c r="K6" s="425" t="s">
        <v>1839</v>
      </c>
    </row>
    <row r="7" spans="1:11" s="422" customFormat="1">
      <c r="A7" s="1270"/>
      <c r="B7" s="1271" t="s">
        <v>669</v>
      </c>
      <c r="C7" s="1272" t="s">
        <v>625</v>
      </c>
      <c r="D7" s="1271"/>
      <c r="E7" s="1271"/>
      <c r="F7" s="1271"/>
      <c r="G7" s="1271"/>
      <c r="H7" s="1271"/>
      <c r="I7" s="1271"/>
      <c r="J7" s="1271"/>
      <c r="K7" s="1273"/>
    </row>
    <row r="8" spans="1:11" s="422" customFormat="1">
      <c r="A8" s="1270"/>
      <c r="B8" s="1271"/>
      <c r="C8" s="1271" t="s">
        <v>1840</v>
      </c>
      <c r="D8" s="1271" t="s">
        <v>670</v>
      </c>
      <c r="E8" s="1271"/>
      <c r="F8" s="1271"/>
      <c r="G8" s="1271"/>
      <c r="H8" s="1271"/>
      <c r="I8" s="1271" t="s">
        <v>1841</v>
      </c>
      <c r="J8" s="1271" t="s">
        <v>1842</v>
      </c>
      <c r="K8" s="1273"/>
    </row>
    <row r="9" spans="1:11" s="422" customFormat="1" ht="67.5">
      <c r="A9" s="1270"/>
      <c r="B9" s="1271"/>
      <c r="C9" s="1271"/>
      <c r="D9" s="426" t="s">
        <v>671</v>
      </c>
      <c r="E9" s="426" t="s">
        <v>672</v>
      </c>
      <c r="F9" s="426" t="s">
        <v>673</v>
      </c>
      <c r="G9" s="426" t="s">
        <v>674</v>
      </c>
      <c r="H9" s="426" t="s">
        <v>1843</v>
      </c>
      <c r="I9" s="1271"/>
      <c r="J9" s="1271"/>
      <c r="K9" s="1273"/>
    </row>
    <row r="10" spans="1:11" s="422" customFormat="1">
      <c r="A10" s="1270"/>
      <c r="B10" s="1271" t="s">
        <v>675</v>
      </c>
      <c r="C10" s="1272" t="s">
        <v>485</v>
      </c>
      <c r="D10" s="1271"/>
      <c r="E10" s="1271"/>
      <c r="F10" s="1271"/>
      <c r="G10" s="1271"/>
      <c r="H10" s="1271"/>
      <c r="I10" s="1271"/>
      <c r="J10" s="1271"/>
      <c r="K10" s="1273"/>
    </row>
    <row r="11" spans="1:11" s="422" customFormat="1">
      <c r="A11" s="1270"/>
      <c r="B11" s="1271"/>
      <c r="C11" s="1271" t="s">
        <v>1844</v>
      </c>
      <c r="D11" s="1271" t="s">
        <v>676</v>
      </c>
      <c r="E11" s="1271"/>
      <c r="F11" s="1271"/>
      <c r="G11" s="1271"/>
      <c r="H11" s="1271"/>
      <c r="I11" s="1271" t="s">
        <v>1845</v>
      </c>
      <c r="J11" s="1271" t="s">
        <v>1846</v>
      </c>
      <c r="K11" s="1273"/>
    </row>
    <row r="12" spans="1:11" s="422" customFormat="1" ht="56.25">
      <c r="A12" s="1270"/>
      <c r="B12" s="1271"/>
      <c r="C12" s="1271"/>
      <c r="D12" s="426" t="s">
        <v>677</v>
      </c>
      <c r="E12" s="426" t="s">
        <v>1847</v>
      </c>
      <c r="F12" s="426" t="s">
        <v>1848</v>
      </c>
      <c r="G12" s="426" t="s">
        <v>1849</v>
      </c>
      <c r="H12" s="426" t="s">
        <v>678</v>
      </c>
      <c r="I12" s="1271"/>
      <c r="J12" s="1271"/>
      <c r="K12" s="1273"/>
    </row>
    <row r="13" spans="1:11" s="422" customFormat="1" ht="24.75">
      <c r="A13" s="427" t="s">
        <v>679</v>
      </c>
      <c r="B13" s="428">
        <v>909148375</v>
      </c>
      <c r="C13" s="428">
        <v>864172769</v>
      </c>
      <c r="D13" s="428">
        <v>555920195</v>
      </c>
      <c r="E13" s="428">
        <v>115499261</v>
      </c>
      <c r="F13" s="428">
        <v>33244561</v>
      </c>
      <c r="G13" s="428">
        <v>19894645</v>
      </c>
      <c r="H13" s="428">
        <v>139614107</v>
      </c>
      <c r="I13" s="428">
        <v>39721557</v>
      </c>
      <c r="J13" s="428">
        <v>5254049</v>
      </c>
      <c r="K13" s="427" t="s">
        <v>680</v>
      </c>
    </row>
    <row r="14" spans="1:11" s="422" customFormat="1" ht="24.75">
      <c r="A14" s="424" t="s">
        <v>681</v>
      </c>
      <c r="B14" s="428">
        <v>702911580</v>
      </c>
      <c r="C14" s="428">
        <v>659038552</v>
      </c>
      <c r="D14" s="428">
        <v>476090257</v>
      </c>
      <c r="E14" s="428">
        <v>78028866</v>
      </c>
      <c r="F14" s="428">
        <v>18451020</v>
      </c>
      <c r="G14" s="428">
        <v>3599062</v>
      </c>
      <c r="H14" s="428">
        <v>82869347</v>
      </c>
      <c r="I14" s="428">
        <v>39157534</v>
      </c>
      <c r="J14" s="428">
        <v>4715494</v>
      </c>
      <c r="K14" s="424" t="s">
        <v>682</v>
      </c>
    </row>
    <row r="15" spans="1:11" s="422" customFormat="1" ht="36.75">
      <c r="A15" s="424" t="s">
        <v>1850</v>
      </c>
      <c r="B15" s="428">
        <v>491416568</v>
      </c>
      <c r="C15" s="428">
        <v>488486049</v>
      </c>
      <c r="D15" s="428">
        <v>357390217</v>
      </c>
      <c r="E15" s="428">
        <v>69511358</v>
      </c>
      <c r="F15" s="428">
        <v>17368130</v>
      </c>
      <c r="G15" s="428">
        <v>2589445</v>
      </c>
      <c r="H15" s="428">
        <v>41626899</v>
      </c>
      <c r="I15" s="428">
        <v>2443182</v>
      </c>
      <c r="J15" s="428">
        <v>487337</v>
      </c>
      <c r="K15" s="424" t="s">
        <v>1851</v>
      </c>
    </row>
    <row r="16" spans="1:11" s="422" customFormat="1" ht="24.75">
      <c r="A16" s="424" t="s">
        <v>1852</v>
      </c>
      <c r="B16" s="428">
        <v>1085385</v>
      </c>
      <c r="C16" s="428">
        <v>1069161</v>
      </c>
      <c r="D16" s="428">
        <v>1052244</v>
      </c>
      <c r="E16" s="425" t="s">
        <v>1853</v>
      </c>
      <c r="F16" s="425" t="s">
        <v>683</v>
      </c>
      <c r="G16" s="425" t="s">
        <v>683</v>
      </c>
      <c r="H16" s="428">
        <v>14570</v>
      </c>
      <c r="I16" s="428">
        <v>16224</v>
      </c>
      <c r="J16" s="425" t="s">
        <v>683</v>
      </c>
      <c r="K16" s="424" t="s">
        <v>1854</v>
      </c>
    </row>
    <row r="17" spans="1:11" s="422" customFormat="1" ht="24.75">
      <c r="A17" s="424" t="s">
        <v>1855</v>
      </c>
      <c r="B17" s="428">
        <v>208931230</v>
      </c>
      <c r="C17" s="428">
        <v>168750169</v>
      </c>
      <c r="D17" s="428">
        <v>117287124</v>
      </c>
      <c r="E17" s="428">
        <v>8256189</v>
      </c>
      <c r="F17" s="428">
        <v>1079930</v>
      </c>
      <c r="G17" s="428">
        <v>1005235</v>
      </c>
      <c r="H17" s="428">
        <v>41121691</v>
      </c>
      <c r="I17" s="428">
        <v>36369061</v>
      </c>
      <c r="J17" s="428">
        <v>3812000</v>
      </c>
      <c r="K17" s="424" t="s">
        <v>1856</v>
      </c>
    </row>
    <row r="18" spans="1:11" s="422" customFormat="1" ht="48.75">
      <c r="A18" s="424" t="s">
        <v>1857</v>
      </c>
      <c r="B18" s="428">
        <v>2563782</v>
      </c>
      <c r="C18" s="430">
        <v>1802334</v>
      </c>
      <c r="D18" s="428">
        <v>1412916</v>
      </c>
      <c r="E18" s="428">
        <v>261319</v>
      </c>
      <c r="F18" s="425" t="s">
        <v>1853</v>
      </c>
      <c r="G18" s="428">
        <v>4382</v>
      </c>
      <c r="H18" s="431">
        <v>120757</v>
      </c>
      <c r="I18" s="428">
        <v>345291</v>
      </c>
      <c r="J18" s="428">
        <v>416157</v>
      </c>
      <c r="K18" s="424" t="s">
        <v>1858</v>
      </c>
    </row>
    <row r="19" spans="1:11" s="422" customFormat="1" ht="24.75">
      <c r="A19" s="424" t="s">
        <v>1859</v>
      </c>
      <c r="B19" s="428">
        <v>209352</v>
      </c>
      <c r="C19" s="431">
        <v>101487</v>
      </c>
      <c r="D19" s="431">
        <v>4624</v>
      </c>
      <c r="E19" s="425" t="s">
        <v>683</v>
      </c>
      <c r="F19" s="425" t="s">
        <v>683</v>
      </c>
      <c r="G19" s="425" t="s">
        <v>683</v>
      </c>
      <c r="H19" s="431">
        <v>96863</v>
      </c>
      <c r="I19" s="428">
        <v>36721</v>
      </c>
      <c r="J19" s="428">
        <v>71144</v>
      </c>
      <c r="K19" s="424" t="s">
        <v>1860</v>
      </c>
    </row>
    <row r="20" spans="1:11" s="422" customFormat="1" ht="72.75">
      <c r="A20" s="424" t="s">
        <v>1861</v>
      </c>
      <c r="B20" s="428">
        <v>187140407</v>
      </c>
      <c r="C20" s="428">
        <v>186318542</v>
      </c>
      <c r="D20" s="428">
        <v>67579504</v>
      </c>
      <c r="E20" s="428">
        <v>35119938</v>
      </c>
      <c r="F20" s="428">
        <v>14119150</v>
      </c>
      <c r="G20" s="428">
        <v>15958340</v>
      </c>
      <c r="H20" s="428">
        <v>53541610</v>
      </c>
      <c r="I20" s="428">
        <v>564023</v>
      </c>
      <c r="J20" s="428">
        <v>257842</v>
      </c>
      <c r="K20" s="424" t="s">
        <v>684</v>
      </c>
    </row>
    <row r="21" spans="1:11" s="422" customFormat="1" ht="72.75">
      <c r="A21" s="424" t="s">
        <v>1862</v>
      </c>
      <c r="B21" s="428">
        <v>4887967</v>
      </c>
      <c r="C21" s="428">
        <v>4651542</v>
      </c>
      <c r="D21" s="428">
        <v>3165954</v>
      </c>
      <c r="E21" s="428">
        <v>597895</v>
      </c>
      <c r="F21" s="428">
        <v>45357</v>
      </c>
      <c r="G21" s="428">
        <v>119972</v>
      </c>
      <c r="H21" s="428">
        <v>722364</v>
      </c>
      <c r="I21" s="425" t="s">
        <v>683</v>
      </c>
      <c r="J21" s="428">
        <v>236425</v>
      </c>
      <c r="K21" s="424" t="s">
        <v>685</v>
      </c>
    </row>
    <row r="22" spans="1:11" s="422" customFormat="1" ht="24.75">
      <c r="A22" s="424" t="s">
        <v>686</v>
      </c>
      <c r="B22" s="428">
        <v>1027070</v>
      </c>
      <c r="C22" s="428">
        <v>995428</v>
      </c>
      <c r="D22" s="428">
        <v>280331</v>
      </c>
      <c r="E22" s="428">
        <v>342107</v>
      </c>
      <c r="F22" s="428">
        <v>102259</v>
      </c>
      <c r="G22" s="428">
        <v>701</v>
      </c>
      <c r="H22" s="428">
        <v>270030</v>
      </c>
      <c r="I22" s="425" t="s">
        <v>683</v>
      </c>
      <c r="J22" s="428">
        <v>31642</v>
      </c>
      <c r="K22" s="424" t="s">
        <v>687</v>
      </c>
    </row>
    <row r="23" spans="1:11" s="422" customFormat="1">
      <c r="A23" s="424" t="s">
        <v>1863</v>
      </c>
      <c r="B23" s="428">
        <v>423452</v>
      </c>
      <c r="C23" s="428">
        <v>391810</v>
      </c>
      <c r="D23" s="428">
        <v>205625</v>
      </c>
      <c r="E23" s="428">
        <v>72510</v>
      </c>
      <c r="F23" s="428">
        <v>102259</v>
      </c>
      <c r="G23" s="428">
        <v>701</v>
      </c>
      <c r="H23" s="428">
        <v>10715</v>
      </c>
      <c r="I23" s="425" t="s">
        <v>683</v>
      </c>
      <c r="J23" s="428">
        <v>31642</v>
      </c>
      <c r="K23" s="424" t="s">
        <v>1864</v>
      </c>
    </row>
    <row r="24" spans="1:11" s="422" customFormat="1">
      <c r="A24" s="424" t="s">
        <v>1865</v>
      </c>
      <c r="B24" s="428">
        <v>603618</v>
      </c>
      <c r="C24" s="428">
        <v>603618</v>
      </c>
      <c r="D24" s="428">
        <v>74706</v>
      </c>
      <c r="E24" s="428">
        <v>269597</v>
      </c>
      <c r="F24" s="425" t="s">
        <v>683</v>
      </c>
      <c r="G24" s="425" t="s">
        <v>683</v>
      </c>
      <c r="H24" s="428">
        <v>259315</v>
      </c>
      <c r="I24" s="425" t="s">
        <v>683</v>
      </c>
      <c r="J24" s="425" t="s">
        <v>683</v>
      </c>
      <c r="K24" s="424" t="s">
        <v>1866</v>
      </c>
    </row>
    <row r="25" spans="1:11" s="422" customFormat="1" ht="99" customHeight="1">
      <c r="A25" s="424" t="s">
        <v>1867</v>
      </c>
      <c r="B25" s="428">
        <v>13181351</v>
      </c>
      <c r="C25" s="428">
        <v>13168705</v>
      </c>
      <c r="D25" s="428">
        <v>8804149</v>
      </c>
      <c r="E25" s="428">
        <v>1410455</v>
      </c>
      <c r="F25" s="428">
        <v>526775</v>
      </c>
      <c r="G25" s="428">
        <v>216570</v>
      </c>
      <c r="H25" s="428">
        <v>2210756</v>
      </c>
      <c r="I25" s="425" t="s">
        <v>683</v>
      </c>
      <c r="J25" s="428">
        <v>12646</v>
      </c>
      <c r="K25" s="424" t="s">
        <v>1868</v>
      </c>
    </row>
    <row r="26" spans="1:11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</row>
  </sheetData>
  <mergeCells count="19">
    <mergeCell ref="A1:K1"/>
    <mergeCell ref="A2:K2"/>
    <mergeCell ref="A4:K4"/>
    <mergeCell ref="A5:K5"/>
    <mergeCell ref="B6:J6"/>
    <mergeCell ref="A7:A12"/>
    <mergeCell ref="B7:B9"/>
    <mergeCell ref="C7:J7"/>
    <mergeCell ref="K7:K12"/>
    <mergeCell ref="C8:C9"/>
    <mergeCell ref="D8:H8"/>
    <mergeCell ref="I8:I9"/>
    <mergeCell ref="J8:J9"/>
    <mergeCell ref="B10:B12"/>
    <mergeCell ref="C10:J10"/>
    <mergeCell ref="C11:C12"/>
    <mergeCell ref="D11:H11"/>
    <mergeCell ref="I11:I12"/>
    <mergeCell ref="J11:J12"/>
  </mergeCells>
  <pageMargins left="0.78740157480314965" right="0.39370078740157483" top="0.39370078740157483" bottom="0.39370078740157483" header="0.31496062992125984" footer="0.31496062992125984"/>
  <pageSetup paperSize="9" firstPageNumber="18" orientation="landscape" useFirstPageNumber="1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GridLines="0" topLeftCell="A22" workbookViewId="0">
      <selection activeCell="M35" sqref="M35"/>
    </sheetView>
  </sheetViews>
  <sheetFormatPr defaultRowHeight="12.75"/>
  <cols>
    <col min="1" max="1" width="7.42578125" style="237" customWidth="1"/>
    <col min="2" max="2" width="51.5703125" style="237" customWidth="1"/>
    <col min="3" max="3" width="17.85546875" style="237" customWidth="1"/>
    <col min="4" max="245" width="9.140625" style="237"/>
    <col min="246" max="246" width="7.42578125" style="237" customWidth="1"/>
    <col min="247" max="247" width="51.5703125" style="237" customWidth="1"/>
    <col min="248" max="248" width="18.28515625" style="237" customWidth="1"/>
    <col min="249" max="250" width="17.28515625" style="237" customWidth="1"/>
    <col min="251" max="252" width="14.28515625" style="237" customWidth="1"/>
    <col min="253" max="253" width="16.140625" style="237" customWidth="1"/>
    <col min="254" max="254" width="19.5703125" style="237" customWidth="1"/>
    <col min="255" max="255" width="14.42578125" style="237" customWidth="1"/>
    <col min="256" max="257" width="18.5703125" style="237" customWidth="1"/>
    <col min="258" max="258" width="17.85546875" style="237" customWidth="1"/>
    <col min="259" max="259" width="18.5703125" style="237" customWidth="1"/>
    <col min="260" max="501" width="9.140625" style="237"/>
    <col min="502" max="502" width="7.42578125" style="237" customWidth="1"/>
    <col min="503" max="503" width="51.5703125" style="237" customWidth="1"/>
    <col min="504" max="504" width="18.28515625" style="237" customWidth="1"/>
    <col min="505" max="506" width="17.28515625" style="237" customWidth="1"/>
    <col min="507" max="508" width="14.28515625" style="237" customWidth="1"/>
    <col min="509" max="509" width="16.140625" style="237" customWidth="1"/>
    <col min="510" max="510" width="19.5703125" style="237" customWidth="1"/>
    <col min="511" max="511" width="14.42578125" style="237" customWidth="1"/>
    <col min="512" max="513" width="18.5703125" style="237" customWidth="1"/>
    <col min="514" max="514" width="17.85546875" style="237" customWidth="1"/>
    <col min="515" max="515" width="18.5703125" style="237" customWidth="1"/>
    <col min="516" max="757" width="9.140625" style="237"/>
    <col min="758" max="758" width="7.42578125" style="237" customWidth="1"/>
    <col min="759" max="759" width="51.5703125" style="237" customWidth="1"/>
    <col min="760" max="760" width="18.28515625" style="237" customWidth="1"/>
    <col min="761" max="762" width="17.28515625" style="237" customWidth="1"/>
    <col min="763" max="764" width="14.28515625" style="237" customWidth="1"/>
    <col min="765" max="765" width="16.140625" style="237" customWidth="1"/>
    <col min="766" max="766" width="19.5703125" style="237" customWidth="1"/>
    <col min="767" max="767" width="14.42578125" style="237" customWidth="1"/>
    <col min="768" max="769" width="18.5703125" style="237" customWidth="1"/>
    <col min="770" max="770" width="17.85546875" style="237" customWidth="1"/>
    <col min="771" max="771" width="18.5703125" style="237" customWidth="1"/>
    <col min="772" max="1013" width="9.140625" style="237"/>
    <col min="1014" max="1014" width="7.42578125" style="237" customWidth="1"/>
    <col min="1015" max="1015" width="51.5703125" style="237" customWidth="1"/>
    <col min="1016" max="1016" width="18.28515625" style="237" customWidth="1"/>
    <col min="1017" max="1018" width="17.28515625" style="237" customWidth="1"/>
    <col min="1019" max="1020" width="14.28515625" style="237" customWidth="1"/>
    <col min="1021" max="1021" width="16.140625" style="237" customWidth="1"/>
    <col min="1022" max="1022" width="19.5703125" style="237" customWidth="1"/>
    <col min="1023" max="1023" width="14.42578125" style="237" customWidth="1"/>
    <col min="1024" max="1025" width="18.5703125" style="237" customWidth="1"/>
    <col min="1026" max="1026" width="17.85546875" style="237" customWidth="1"/>
    <col min="1027" max="1027" width="18.5703125" style="237" customWidth="1"/>
    <col min="1028" max="1269" width="9.140625" style="237"/>
    <col min="1270" max="1270" width="7.42578125" style="237" customWidth="1"/>
    <col min="1271" max="1271" width="51.5703125" style="237" customWidth="1"/>
    <col min="1272" max="1272" width="18.28515625" style="237" customWidth="1"/>
    <col min="1273" max="1274" width="17.28515625" style="237" customWidth="1"/>
    <col min="1275" max="1276" width="14.28515625" style="237" customWidth="1"/>
    <col min="1277" max="1277" width="16.140625" style="237" customWidth="1"/>
    <col min="1278" max="1278" width="19.5703125" style="237" customWidth="1"/>
    <col min="1279" max="1279" width="14.42578125" style="237" customWidth="1"/>
    <col min="1280" max="1281" width="18.5703125" style="237" customWidth="1"/>
    <col min="1282" max="1282" width="17.85546875" style="237" customWidth="1"/>
    <col min="1283" max="1283" width="18.5703125" style="237" customWidth="1"/>
    <col min="1284" max="1525" width="9.140625" style="237"/>
    <col min="1526" max="1526" width="7.42578125" style="237" customWidth="1"/>
    <col min="1527" max="1527" width="51.5703125" style="237" customWidth="1"/>
    <col min="1528" max="1528" width="18.28515625" style="237" customWidth="1"/>
    <col min="1529" max="1530" width="17.28515625" style="237" customWidth="1"/>
    <col min="1531" max="1532" width="14.28515625" style="237" customWidth="1"/>
    <col min="1533" max="1533" width="16.140625" style="237" customWidth="1"/>
    <col min="1534" max="1534" width="19.5703125" style="237" customWidth="1"/>
    <col min="1535" max="1535" width="14.42578125" style="237" customWidth="1"/>
    <col min="1536" max="1537" width="18.5703125" style="237" customWidth="1"/>
    <col min="1538" max="1538" width="17.85546875" style="237" customWidth="1"/>
    <col min="1539" max="1539" width="18.5703125" style="237" customWidth="1"/>
    <col min="1540" max="1781" width="9.140625" style="237"/>
    <col min="1782" max="1782" width="7.42578125" style="237" customWidth="1"/>
    <col min="1783" max="1783" width="51.5703125" style="237" customWidth="1"/>
    <col min="1784" max="1784" width="18.28515625" style="237" customWidth="1"/>
    <col min="1785" max="1786" width="17.28515625" style="237" customWidth="1"/>
    <col min="1787" max="1788" width="14.28515625" style="237" customWidth="1"/>
    <col min="1789" max="1789" width="16.140625" style="237" customWidth="1"/>
    <col min="1790" max="1790" width="19.5703125" style="237" customWidth="1"/>
    <col min="1791" max="1791" width="14.42578125" style="237" customWidth="1"/>
    <col min="1792" max="1793" width="18.5703125" style="237" customWidth="1"/>
    <col min="1794" max="1794" width="17.85546875" style="237" customWidth="1"/>
    <col min="1795" max="1795" width="18.5703125" style="237" customWidth="1"/>
    <col min="1796" max="2037" width="9.140625" style="237"/>
    <col min="2038" max="2038" width="7.42578125" style="237" customWidth="1"/>
    <col min="2039" max="2039" width="51.5703125" style="237" customWidth="1"/>
    <col min="2040" max="2040" width="18.28515625" style="237" customWidth="1"/>
    <col min="2041" max="2042" width="17.28515625" style="237" customWidth="1"/>
    <col min="2043" max="2044" width="14.28515625" style="237" customWidth="1"/>
    <col min="2045" max="2045" width="16.140625" style="237" customWidth="1"/>
    <col min="2046" max="2046" width="19.5703125" style="237" customWidth="1"/>
    <col min="2047" max="2047" width="14.42578125" style="237" customWidth="1"/>
    <col min="2048" max="2049" width="18.5703125" style="237" customWidth="1"/>
    <col min="2050" max="2050" width="17.85546875" style="237" customWidth="1"/>
    <col min="2051" max="2051" width="18.5703125" style="237" customWidth="1"/>
    <col min="2052" max="2293" width="9.140625" style="237"/>
    <col min="2294" max="2294" width="7.42578125" style="237" customWidth="1"/>
    <col min="2295" max="2295" width="51.5703125" style="237" customWidth="1"/>
    <col min="2296" max="2296" width="18.28515625" style="237" customWidth="1"/>
    <col min="2297" max="2298" width="17.28515625" style="237" customWidth="1"/>
    <col min="2299" max="2300" width="14.28515625" style="237" customWidth="1"/>
    <col min="2301" max="2301" width="16.140625" style="237" customWidth="1"/>
    <col min="2302" max="2302" width="19.5703125" style="237" customWidth="1"/>
    <col min="2303" max="2303" width="14.42578125" style="237" customWidth="1"/>
    <col min="2304" max="2305" width="18.5703125" style="237" customWidth="1"/>
    <col min="2306" max="2306" width="17.85546875" style="237" customWidth="1"/>
    <col min="2307" max="2307" width="18.5703125" style="237" customWidth="1"/>
    <col min="2308" max="2549" width="9.140625" style="237"/>
    <col min="2550" max="2550" width="7.42578125" style="237" customWidth="1"/>
    <col min="2551" max="2551" width="51.5703125" style="237" customWidth="1"/>
    <col min="2552" max="2552" width="18.28515625" style="237" customWidth="1"/>
    <col min="2553" max="2554" width="17.28515625" style="237" customWidth="1"/>
    <col min="2555" max="2556" width="14.28515625" style="237" customWidth="1"/>
    <col min="2557" max="2557" width="16.140625" style="237" customWidth="1"/>
    <col min="2558" max="2558" width="19.5703125" style="237" customWidth="1"/>
    <col min="2559" max="2559" width="14.42578125" style="237" customWidth="1"/>
    <col min="2560" max="2561" width="18.5703125" style="237" customWidth="1"/>
    <col min="2562" max="2562" width="17.85546875" style="237" customWidth="1"/>
    <col min="2563" max="2563" width="18.5703125" style="237" customWidth="1"/>
    <col min="2564" max="2805" width="9.140625" style="237"/>
    <col min="2806" max="2806" width="7.42578125" style="237" customWidth="1"/>
    <col min="2807" max="2807" width="51.5703125" style="237" customWidth="1"/>
    <col min="2808" max="2808" width="18.28515625" style="237" customWidth="1"/>
    <col min="2809" max="2810" width="17.28515625" style="237" customWidth="1"/>
    <col min="2811" max="2812" width="14.28515625" style="237" customWidth="1"/>
    <col min="2813" max="2813" width="16.140625" style="237" customWidth="1"/>
    <col min="2814" max="2814" width="19.5703125" style="237" customWidth="1"/>
    <col min="2815" max="2815" width="14.42578125" style="237" customWidth="1"/>
    <col min="2816" max="2817" width="18.5703125" style="237" customWidth="1"/>
    <col min="2818" max="2818" width="17.85546875" style="237" customWidth="1"/>
    <col min="2819" max="2819" width="18.5703125" style="237" customWidth="1"/>
    <col min="2820" max="3061" width="9.140625" style="237"/>
    <col min="3062" max="3062" width="7.42578125" style="237" customWidth="1"/>
    <col min="3063" max="3063" width="51.5703125" style="237" customWidth="1"/>
    <col min="3064" max="3064" width="18.28515625" style="237" customWidth="1"/>
    <col min="3065" max="3066" width="17.28515625" style="237" customWidth="1"/>
    <col min="3067" max="3068" width="14.28515625" style="237" customWidth="1"/>
    <col min="3069" max="3069" width="16.140625" style="237" customWidth="1"/>
    <col min="3070" max="3070" width="19.5703125" style="237" customWidth="1"/>
    <col min="3071" max="3071" width="14.42578125" style="237" customWidth="1"/>
    <col min="3072" max="3073" width="18.5703125" style="237" customWidth="1"/>
    <col min="3074" max="3074" width="17.85546875" style="237" customWidth="1"/>
    <col min="3075" max="3075" width="18.5703125" style="237" customWidth="1"/>
    <col min="3076" max="3317" width="9.140625" style="237"/>
    <col min="3318" max="3318" width="7.42578125" style="237" customWidth="1"/>
    <col min="3319" max="3319" width="51.5703125" style="237" customWidth="1"/>
    <col min="3320" max="3320" width="18.28515625" style="237" customWidth="1"/>
    <col min="3321" max="3322" width="17.28515625" style="237" customWidth="1"/>
    <col min="3323" max="3324" width="14.28515625" style="237" customWidth="1"/>
    <col min="3325" max="3325" width="16.140625" style="237" customWidth="1"/>
    <col min="3326" max="3326" width="19.5703125" style="237" customWidth="1"/>
    <col min="3327" max="3327" width="14.42578125" style="237" customWidth="1"/>
    <col min="3328" max="3329" width="18.5703125" style="237" customWidth="1"/>
    <col min="3330" max="3330" width="17.85546875" style="237" customWidth="1"/>
    <col min="3331" max="3331" width="18.5703125" style="237" customWidth="1"/>
    <col min="3332" max="3573" width="9.140625" style="237"/>
    <col min="3574" max="3574" width="7.42578125" style="237" customWidth="1"/>
    <col min="3575" max="3575" width="51.5703125" style="237" customWidth="1"/>
    <col min="3576" max="3576" width="18.28515625" style="237" customWidth="1"/>
    <col min="3577" max="3578" width="17.28515625" style="237" customWidth="1"/>
    <col min="3579" max="3580" width="14.28515625" style="237" customWidth="1"/>
    <col min="3581" max="3581" width="16.140625" style="237" customWidth="1"/>
    <col min="3582" max="3582" width="19.5703125" style="237" customWidth="1"/>
    <col min="3583" max="3583" width="14.42578125" style="237" customWidth="1"/>
    <col min="3584" max="3585" width="18.5703125" style="237" customWidth="1"/>
    <col min="3586" max="3586" width="17.85546875" style="237" customWidth="1"/>
    <col min="3587" max="3587" width="18.5703125" style="237" customWidth="1"/>
    <col min="3588" max="3829" width="9.140625" style="237"/>
    <col min="3830" max="3830" width="7.42578125" style="237" customWidth="1"/>
    <col min="3831" max="3831" width="51.5703125" style="237" customWidth="1"/>
    <col min="3832" max="3832" width="18.28515625" style="237" customWidth="1"/>
    <col min="3833" max="3834" width="17.28515625" style="237" customWidth="1"/>
    <col min="3835" max="3836" width="14.28515625" style="237" customWidth="1"/>
    <col min="3837" max="3837" width="16.140625" style="237" customWidth="1"/>
    <col min="3838" max="3838" width="19.5703125" style="237" customWidth="1"/>
    <col min="3839" max="3839" width="14.42578125" style="237" customWidth="1"/>
    <col min="3840" max="3841" width="18.5703125" style="237" customWidth="1"/>
    <col min="3842" max="3842" width="17.85546875" style="237" customWidth="1"/>
    <col min="3843" max="3843" width="18.5703125" style="237" customWidth="1"/>
    <col min="3844" max="4085" width="9.140625" style="237"/>
    <col min="4086" max="4086" width="7.42578125" style="237" customWidth="1"/>
    <col min="4087" max="4087" width="51.5703125" style="237" customWidth="1"/>
    <col min="4088" max="4088" width="18.28515625" style="237" customWidth="1"/>
    <col min="4089" max="4090" width="17.28515625" style="237" customWidth="1"/>
    <col min="4091" max="4092" width="14.28515625" style="237" customWidth="1"/>
    <col min="4093" max="4093" width="16.140625" style="237" customWidth="1"/>
    <col min="4094" max="4094" width="19.5703125" style="237" customWidth="1"/>
    <col min="4095" max="4095" width="14.42578125" style="237" customWidth="1"/>
    <col min="4096" max="4097" width="18.5703125" style="237" customWidth="1"/>
    <col min="4098" max="4098" width="17.85546875" style="237" customWidth="1"/>
    <col min="4099" max="4099" width="18.5703125" style="237" customWidth="1"/>
    <col min="4100" max="4341" width="9.140625" style="237"/>
    <col min="4342" max="4342" width="7.42578125" style="237" customWidth="1"/>
    <col min="4343" max="4343" width="51.5703125" style="237" customWidth="1"/>
    <col min="4344" max="4344" width="18.28515625" style="237" customWidth="1"/>
    <col min="4345" max="4346" width="17.28515625" style="237" customWidth="1"/>
    <col min="4347" max="4348" width="14.28515625" style="237" customWidth="1"/>
    <col min="4349" max="4349" width="16.140625" style="237" customWidth="1"/>
    <col min="4350" max="4350" width="19.5703125" style="237" customWidth="1"/>
    <col min="4351" max="4351" width="14.42578125" style="237" customWidth="1"/>
    <col min="4352" max="4353" width="18.5703125" style="237" customWidth="1"/>
    <col min="4354" max="4354" width="17.85546875" style="237" customWidth="1"/>
    <col min="4355" max="4355" width="18.5703125" style="237" customWidth="1"/>
    <col min="4356" max="4597" width="9.140625" style="237"/>
    <col min="4598" max="4598" width="7.42578125" style="237" customWidth="1"/>
    <col min="4599" max="4599" width="51.5703125" style="237" customWidth="1"/>
    <col min="4600" max="4600" width="18.28515625" style="237" customWidth="1"/>
    <col min="4601" max="4602" width="17.28515625" style="237" customWidth="1"/>
    <col min="4603" max="4604" width="14.28515625" style="237" customWidth="1"/>
    <col min="4605" max="4605" width="16.140625" style="237" customWidth="1"/>
    <col min="4606" max="4606" width="19.5703125" style="237" customWidth="1"/>
    <col min="4607" max="4607" width="14.42578125" style="237" customWidth="1"/>
    <col min="4608" max="4609" width="18.5703125" style="237" customWidth="1"/>
    <col min="4610" max="4610" width="17.85546875" style="237" customWidth="1"/>
    <col min="4611" max="4611" width="18.5703125" style="237" customWidth="1"/>
    <col min="4612" max="4853" width="9.140625" style="237"/>
    <col min="4854" max="4854" width="7.42578125" style="237" customWidth="1"/>
    <col min="4855" max="4855" width="51.5703125" style="237" customWidth="1"/>
    <col min="4856" max="4856" width="18.28515625" style="237" customWidth="1"/>
    <col min="4857" max="4858" width="17.28515625" style="237" customWidth="1"/>
    <col min="4859" max="4860" width="14.28515625" style="237" customWidth="1"/>
    <col min="4861" max="4861" width="16.140625" style="237" customWidth="1"/>
    <col min="4862" max="4862" width="19.5703125" style="237" customWidth="1"/>
    <col min="4863" max="4863" width="14.42578125" style="237" customWidth="1"/>
    <col min="4864" max="4865" width="18.5703125" style="237" customWidth="1"/>
    <col min="4866" max="4866" width="17.85546875" style="237" customWidth="1"/>
    <col min="4867" max="4867" width="18.5703125" style="237" customWidth="1"/>
    <col min="4868" max="5109" width="9.140625" style="237"/>
    <col min="5110" max="5110" width="7.42578125" style="237" customWidth="1"/>
    <col min="5111" max="5111" width="51.5703125" style="237" customWidth="1"/>
    <col min="5112" max="5112" width="18.28515625" style="237" customWidth="1"/>
    <col min="5113" max="5114" width="17.28515625" style="237" customWidth="1"/>
    <col min="5115" max="5116" width="14.28515625" style="237" customWidth="1"/>
    <col min="5117" max="5117" width="16.140625" style="237" customWidth="1"/>
    <col min="5118" max="5118" width="19.5703125" style="237" customWidth="1"/>
    <col min="5119" max="5119" width="14.42578125" style="237" customWidth="1"/>
    <col min="5120" max="5121" width="18.5703125" style="237" customWidth="1"/>
    <col min="5122" max="5122" width="17.85546875" style="237" customWidth="1"/>
    <col min="5123" max="5123" width="18.5703125" style="237" customWidth="1"/>
    <col min="5124" max="5365" width="9.140625" style="237"/>
    <col min="5366" max="5366" width="7.42578125" style="237" customWidth="1"/>
    <col min="5367" max="5367" width="51.5703125" style="237" customWidth="1"/>
    <col min="5368" max="5368" width="18.28515625" style="237" customWidth="1"/>
    <col min="5369" max="5370" width="17.28515625" style="237" customWidth="1"/>
    <col min="5371" max="5372" width="14.28515625" style="237" customWidth="1"/>
    <col min="5373" max="5373" width="16.140625" style="237" customWidth="1"/>
    <col min="5374" max="5374" width="19.5703125" style="237" customWidth="1"/>
    <col min="5375" max="5375" width="14.42578125" style="237" customWidth="1"/>
    <col min="5376" max="5377" width="18.5703125" style="237" customWidth="1"/>
    <col min="5378" max="5378" width="17.85546875" style="237" customWidth="1"/>
    <col min="5379" max="5379" width="18.5703125" style="237" customWidth="1"/>
    <col min="5380" max="5621" width="9.140625" style="237"/>
    <col min="5622" max="5622" width="7.42578125" style="237" customWidth="1"/>
    <col min="5623" max="5623" width="51.5703125" style="237" customWidth="1"/>
    <col min="5624" max="5624" width="18.28515625" style="237" customWidth="1"/>
    <col min="5625" max="5626" width="17.28515625" style="237" customWidth="1"/>
    <col min="5627" max="5628" width="14.28515625" style="237" customWidth="1"/>
    <col min="5629" max="5629" width="16.140625" style="237" customWidth="1"/>
    <col min="5630" max="5630" width="19.5703125" style="237" customWidth="1"/>
    <col min="5631" max="5631" width="14.42578125" style="237" customWidth="1"/>
    <col min="5632" max="5633" width="18.5703125" style="237" customWidth="1"/>
    <col min="5634" max="5634" width="17.85546875" style="237" customWidth="1"/>
    <col min="5635" max="5635" width="18.5703125" style="237" customWidth="1"/>
    <col min="5636" max="5877" width="9.140625" style="237"/>
    <col min="5878" max="5878" width="7.42578125" style="237" customWidth="1"/>
    <col min="5879" max="5879" width="51.5703125" style="237" customWidth="1"/>
    <col min="5880" max="5880" width="18.28515625" style="237" customWidth="1"/>
    <col min="5881" max="5882" width="17.28515625" style="237" customWidth="1"/>
    <col min="5883" max="5884" width="14.28515625" style="237" customWidth="1"/>
    <col min="5885" max="5885" width="16.140625" style="237" customWidth="1"/>
    <col min="5886" max="5886" width="19.5703125" style="237" customWidth="1"/>
    <col min="5887" max="5887" width="14.42578125" style="237" customWidth="1"/>
    <col min="5888" max="5889" width="18.5703125" style="237" customWidth="1"/>
    <col min="5890" max="5890" width="17.85546875" style="237" customWidth="1"/>
    <col min="5891" max="5891" width="18.5703125" style="237" customWidth="1"/>
    <col min="5892" max="6133" width="9.140625" style="237"/>
    <col min="6134" max="6134" width="7.42578125" style="237" customWidth="1"/>
    <col min="6135" max="6135" width="51.5703125" style="237" customWidth="1"/>
    <col min="6136" max="6136" width="18.28515625" style="237" customWidth="1"/>
    <col min="6137" max="6138" width="17.28515625" style="237" customWidth="1"/>
    <col min="6139" max="6140" width="14.28515625" style="237" customWidth="1"/>
    <col min="6141" max="6141" width="16.140625" style="237" customWidth="1"/>
    <col min="6142" max="6142" width="19.5703125" style="237" customWidth="1"/>
    <col min="6143" max="6143" width="14.42578125" style="237" customWidth="1"/>
    <col min="6144" max="6145" width="18.5703125" style="237" customWidth="1"/>
    <col min="6146" max="6146" width="17.85546875" style="237" customWidth="1"/>
    <col min="6147" max="6147" width="18.5703125" style="237" customWidth="1"/>
    <col min="6148" max="6389" width="9.140625" style="237"/>
    <col min="6390" max="6390" width="7.42578125" style="237" customWidth="1"/>
    <col min="6391" max="6391" width="51.5703125" style="237" customWidth="1"/>
    <col min="6392" max="6392" width="18.28515625" style="237" customWidth="1"/>
    <col min="6393" max="6394" width="17.28515625" style="237" customWidth="1"/>
    <col min="6395" max="6396" width="14.28515625" style="237" customWidth="1"/>
    <col min="6397" max="6397" width="16.140625" style="237" customWidth="1"/>
    <col min="6398" max="6398" width="19.5703125" style="237" customWidth="1"/>
    <col min="6399" max="6399" width="14.42578125" style="237" customWidth="1"/>
    <col min="6400" max="6401" width="18.5703125" style="237" customWidth="1"/>
    <col min="6402" max="6402" width="17.85546875" style="237" customWidth="1"/>
    <col min="6403" max="6403" width="18.5703125" style="237" customWidth="1"/>
    <col min="6404" max="6645" width="9.140625" style="237"/>
    <col min="6646" max="6646" width="7.42578125" style="237" customWidth="1"/>
    <col min="6647" max="6647" width="51.5703125" style="237" customWidth="1"/>
    <col min="6648" max="6648" width="18.28515625" style="237" customWidth="1"/>
    <col min="6649" max="6650" width="17.28515625" style="237" customWidth="1"/>
    <col min="6651" max="6652" width="14.28515625" style="237" customWidth="1"/>
    <col min="6653" max="6653" width="16.140625" style="237" customWidth="1"/>
    <col min="6654" max="6654" width="19.5703125" style="237" customWidth="1"/>
    <col min="6655" max="6655" width="14.42578125" style="237" customWidth="1"/>
    <col min="6656" max="6657" width="18.5703125" style="237" customWidth="1"/>
    <col min="6658" max="6658" width="17.85546875" style="237" customWidth="1"/>
    <col min="6659" max="6659" width="18.5703125" style="237" customWidth="1"/>
    <col min="6660" max="6901" width="9.140625" style="237"/>
    <col min="6902" max="6902" width="7.42578125" style="237" customWidth="1"/>
    <col min="6903" max="6903" width="51.5703125" style="237" customWidth="1"/>
    <col min="6904" max="6904" width="18.28515625" style="237" customWidth="1"/>
    <col min="6905" max="6906" width="17.28515625" style="237" customWidth="1"/>
    <col min="6907" max="6908" width="14.28515625" style="237" customWidth="1"/>
    <col min="6909" max="6909" width="16.140625" style="237" customWidth="1"/>
    <col min="6910" max="6910" width="19.5703125" style="237" customWidth="1"/>
    <col min="6911" max="6911" width="14.42578125" style="237" customWidth="1"/>
    <col min="6912" max="6913" width="18.5703125" style="237" customWidth="1"/>
    <col min="6914" max="6914" width="17.85546875" style="237" customWidth="1"/>
    <col min="6915" max="6915" width="18.5703125" style="237" customWidth="1"/>
    <col min="6916" max="7157" width="9.140625" style="237"/>
    <col min="7158" max="7158" width="7.42578125" style="237" customWidth="1"/>
    <col min="7159" max="7159" width="51.5703125" style="237" customWidth="1"/>
    <col min="7160" max="7160" width="18.28515625" style="237" customWidth="1"/>
    <col min="7161" max="7162" width="17.28515625" style="237" customWidth="1"/>
    <col min="7163" max="7164" width="14.28515625" style="237" customWidth="1"/>
    <col min="7165" max="7165" width="16.140625" style="237" customWidth="1"/>
    <col min="7166" max="7166" width="19.5703125" style="237" customWidth="1"/>
    <col min="7167" max="7167" width="14.42578125" style="237" customWidth="1"/>
    <col min="7168" max="7169" width="18.5703125" style="237" customWidth="1"/>
    <col min="7170" max="7170" width="17.85546875" style="237" customWidth="1"/>
    <col min="7171" max="7171" width="18.5703125" style="237" customWidth="1"/>
    <col min="7172" max="7413" width="9.140625" style="237"/>
    <col min="7414" max="7414" width="7.42578125" style="237" customWidth="1"/>
    <col min="7415" max="7415" width="51.5703125" style="237" customWidth="1"/>
    <col min="7416" max="7416" width="18.28515625" style="237" customWidth="1"/>
    <col min="7417" max="7418" width="17.28515625" style="237" customWidth="1"/>
    <col min="7419" max="7420" width="14.28515625" style="237" customWidth="1"/>
    <col min="7421" max="7421" width="16.140625" style="237" customWidth="1"/>
    <col min="7422" max="7422" width="19.5703125" style="237" customWidth="1"/>
    <col min="7423" max="7423" width="14.42578125" style="237" customWidth="1"/>
    <col min="7424" max="7425" width="18.5703125" style="237" customWidth="1"/>
    <col min="7426" max="7426" width="17.85546875" style="237" customWidth="1"/>
    <col min="7427" max="7427" width="18.5703125" style="237" customWidth="1"/>
    <col min="7428" max="7669" width="9.140625" style="237"/>
    <col min="7670" max="7670" width="7.42578125" style="237" customWidth="1"/>
    <col min="7671" max="7671" width="51.5703125" style="237" customWidth="1"/>
    <col min="7672" max="7672" width="18.28515625" style="237" customWidth="1"/>
    <col min="7673" max="7674" width="17.28515625" style="237" customWidth="1"/>
    <col min="7675" max="7676" width="14.28515625" style="237" customWidth="1"/>
    <col min="7677" max="7677" width="16.140625" style="237" customWidth="1"/>
    <col min="7678" max="7678" width="19.5703125" style="237" customWidth="1"/>
    <col min="7679" max="7679" width="14.42578125" style="237" customWidth="1"/>
    <col min="7680" max="7681" width="18.5703125" style="237" customWidth="1"/>
    <col min="7682" max="7682" width="17.85546875" style="237" customWidth="1"/>
    <col min="7683" max="7683" width="18.5703125" style="237" customWidth="1"/>
    <col min="7684" max="7925" width="9.140625" style="237"/>
    <col min="7926" max="7926" width="7.42578125" style="237" customWidth="1"/>
    <col min="7927" max="7927" width="51.5703125" style="237" customWidth="1"/>
    <col min="7928" max="7928" width="18.28515625" style="237" customWidth="1"/>
    <col min="7929" max="7930" width="17.28515625" style="237" customWidth="1"/>
    <col min="7931" max="7932" width="14.28515625" style="237" customWidth="1"/>
    <col min="7933" max="7933" width="16.140625" style="237" customWidth="1"/>
    <col min="7934" max="7934" width="19.5703125" style="237" customWidth="1"/>
    <col min="7935" max="7935" width="14.42578125" style="237" customWidth="1"/>
    <col min="7936" max="7937" width="18.5703125" style="237" customWidth="1"/>
    <col min="7938" max="7938" width="17.85546875" style="237" customWidth="1"/>
    <col min="7939" max="7939" width="18.5703125" style="237" customWidth="1"/>
    <col min="7940" max="8181" width="9.140625" style="237"/>
    <col min="8182" max="8182" width="7.42578125" style="237" customWidth="1"/>
    <col min="8183" max="8183" width="51.5703125" style="237" customWidth="1"/>
    <col min="8184" max="8184" width="18.28515625" style="237" customWidth="1"/>
    <col min="8185" max="8186" width="17.28515625" style="237" customWidth="1"/>
    <col min="8187" max="8188" width="14.28515625" style="237" customWidth="1"/>
    <col min="8189" max="8189" width="16.140625" style="237" customWidth="1"/>
    <col min="8190" max="8190" width="19.5703125" style="237" customWidth="1"/>
    <col min="8191" max="8191" width="14.42578125" style="237" customWidth="1"/>
    <col min="8192" max="8193" width="18.5703125" style="237" customWidth="1"/>
    <col min="8194" max="8194" width="17.85546875" style="237" customWidth="1"/>
    <col min="8195" max="8195" width="18.5703125" style="237" customWidth="1"/>
    <col min="8196" max="8437" width="9.140625" style="237"/>
    <col min="8438" max="8438" width="7.42578125" style="237" customWidth="1"/>
    <col min="8439" max="8439" width="51.5703125" style="237" customWidth="1"/>
    <col min="8440" max="8440" width="18.28515625" style="237" customWidth="1"/>
    <col min="8441" max="8442" width="17.28515625" style="237" customWidth="1"/>
    <col min="8443" max="8444" width="14.28515625" style="237" customWidth="1"/>
    <col min="8445" max="8445" width="16.140625" style="237" customWidth="1"/>
    <col min="8446" max="8446" width="19.5703125" style="237" customWidth="1"/>
    <col min="8447" max="8447" width="14.42578125" style="237" customWidth="1"/>
    <col min="8448" max="8449" width="18.5703125" style="237" customWidth="1"/>
    <col min="8450" max="8450" width="17.85546875" style="237" customWidth="1"/>
    <col min="8451" max="8451" width="18.5703125" style="237" customWidth="1"/>
    <col min="8452" max="8693" width="9.140625" style="237"/>
    <col min="8694" max="8694" width="7.42578125" style="237" customWidth="1"/>
    <col min="8695" max="8695" width="51.5703125" style="237" customWidth="1"/>
    <col min="8696" max="8696" width="18.28515625" style="237" customWidth="1"/>
    <col min="8697" max="8698" width="17.28515625" style="237" customWidth="1"/>
    <col min="8699" max="8700" width="14.28515625" style="237" customWidth="1"/>
    <col min="8701" max="8701" width="16.140625" style="237" customWidth="1"/>
    <col min="8702" max="8702" width="19.5703125" style="237" customWidth="1"/>
    <col min="8703" max="8703" width="14.42578125" style="237" customWidth="1"/>
    <col min="8704" max="8705" width="18.5703125" style="237" customWidth="1"/>
    <col min="8706" max="8706" width="17.85546875" style="237" customWidth="1"/>
    <col min="8707" max="8707" width="18.5703125" style="237" customWidth="1"/>
    <col min="8708" max="8949" width="9.140625" style="237"/>
    <col min="8950" max="8950" width="7.42578125" style="237" customWidth="1"/>
    <col min="8951" max="8951" width="51.5703125" style="237" customWidth="1"/>
    <col min="8952" max="8952" width="18.28515625" style="237" customWidth="1"/>
    <col min="8953" max="8954" width="17.28515625" style="237" customWidth="1"/>
    <col min="8955" max="8956" width="14.28515625" style="237" customWidth="1"/>
    <col min="8957" max="8957" width="16.140625" style="237" customWidth="1"/>
    <col min="8958" max="8958" width="19.5703125" style="237" customWidth="1"/>
    <col min="8959" max="8959" width="14.42578125" style="237" customWidth="1"/>
    <col min="8960" max="8961" width="18.5703125" style="237" customWidth="1"/>
    <col min="8962" max="8962" width="17.85546875" style="237" customWidth="1"/>
    <col min="8963" max="8963" width="18.5703125" style="237" customWidth="1"/>
    <col min="8964" max="9205" width="9.140625" style="237"/>
    <col min="9206" max="9206" width="7.42578125" style="237" customWidth="1"/>
    <col min="9207" max="9207" width="51.5703125" style="237" customWidth="1"/>
    <col min="9208" max="9208" width="18.28515625" style="237" customWidth="1"/>
    <col min="9209" max="9210" width="17.28515625" style="237" customWidth="1"/>
    <col min="9211" max="9212" width="14.28515625" style="237" customWidth="1"/>
    <col min="9213" max="9213" width="16.140625" style="237" customWidth="1"/>
    <col min="9214" max="9214" width="19.5703125" style="237" customWidth="1"/>
    <col min="9215" max="9215" width="14.42578125" style="237" customWidth="1"/>
    <col min="9216" max="9217" width="18.5703125" style="237" customWidth="1"/>
    <col min="9218" max="9218" width="17.85546875" style="237" customWidth="1"/>
    <col min="9219" max="9219" width="18.5703125" style="237" customWidth="1"/>
    <col min="9220" max="9461" width="9.140625" style="237"/>
    <col min="9462" max="9462" width="7.42578125" style="237" customWidth="1"/>
    <col min="9463" max="9463" width="51.5703125" style="237" customWidth="1"/>
    <col min="9464" max="9464" width="18.28515625" style="237" customWidth="1"/>
    <col min="9465" max="9466" width="17.28515625" style="237" customWidth="1"/>
    <col min="9467" max="9468" width="14.28515625" style="237" customWidth="1"/>
    <col min="9469" max="9469" width="16.140625" style="237" customWidth="1"/>
    <col min="9470" max="9470" width="19.5703125" style="237" customWidth="1"/>
    <col min="9471" max="9471" width="14.42578125" style="237" customWidth="1"/>
    <col min="9472" max="9473" width="18.5703125" style="237" customWidth="1"/>
    <col min="9474" max="9474" width="17.85546875" style="237" customWidth="1"/>
    <col min="9475" max="9475" width="18.5703125" style="237" customWidth="1"/>
    <col min="9476" max="9717" width="9.140625" style="237"/>
    <col min="9718" max="9718" width="7.42578125" style="237" customWidth="1"/>
    <col min="9719" max="9719" width="51.5703125" style="237" customWidth="1"/>
    <col min="9720" max="9720" width="18.28515625" style="237" customWidth="1"/>
    <col min="9721" max="9722" width="17.28515625" style="237" customWidth="1"/>
    <col min="9723" max="9724" width="14.28515625" style="237" customWidth="1"/>
    <col min="9725" max="9725" width="16.140625" style="237" customWidth="1"/>
    <col min="9726" max="9726" width="19.5703125" style="237" customWidth="1"/>
    <col min="9727" max="9727" width="14.42578125" style="237" customWidth="1"/>
    <col min="9728" max="9729" width="18.5703125" style="237" customWidth="1"/>
    <col min="9730" max="9730" width="17.85546875" style="237" customWidth="1"/>
    <col min="9731" max="9731" width="18.5703125" style="237" customWidth="1"/>
    <col min="9732" max="9973" width="9.140625" style="237"/>
    <col min="9974" max="9974" width="7.42578125" style="237" customWidth="1"/>
    <col min="9975" max="9975" width="51.5703125" style="237" customWidth="1"/>
    <col min="9976" max="9976" width="18.28515625" style="237" customWidth="1"/>
    <col min="9977" max="9978" width="17.28515625" style="237" customWidth="1"/>
    <col min="9979" max="9980" width="14.28515625" style="237" customWidth="1"/>
    <col min="9981" max="9981" width="16.140625" style="237" customWidth="1"/>
    <col min="9982" max="9982" width="19.5703125" style="237" customWidth="1"/>
    <col min="9983" max="9983" width="14.42578125" style="237" customWidth="1"/>
    <col min="9984" max="9985" width="18.5703125" style="237" customWidth="1"/>
    <col min="9986" max="9986" width="17.85546875" style="237" customWidth="1"/>
    <col min="9987" max="9987" width="18.5703125" style="237" customWidth="1"/>
    <col min="9988" max="10229" width="9.140625" style="237"/>
    <col min="10230" max="10230" width="7.42578125" style="237" customWidth="1"/>
    <col min="10231" max="10231" width="51.5703125" style="237" customWidth="1"/>
    <col min="10232" max="10232" width="18.28515625" style="237" customWidth="1"/>
    <col min="10233" max="10234" width="17.28515625" style="237" customWidth="1"/>
    <col min="10235" max="10236" width="14.28515625" style="237" customWidth="1"/>
    <col min="10237" max="10237" width="16.140625" style="237" customWidth="1"/>
    <col min="10238" max="10238" width="19.5703125" style="237" customWidth="1"/>
    <col min="10239" max="10239" width="14.42578125" style="237" customWidth="1"/>
    <col min="10240" max="10241" width="18.5703125" style="237" customWidth="1"/>
    <col min="10242" max="10242" width="17.85546875" style="237" customWidth="1"/>
    <col min="10243" max="10243" width="18.5703125" style="237" customWidth="1"/>
    <col min="10244" max="10485" width="9.140625" style="237"/>
    <col min="10486" max="10486" width="7.42578125" style="237" customWidth="1"/>
    <col min="10487" max="10487" width="51.5703125" style="237" customWidth="1"/>
    <col min="10488" max="10488" width="18.28515625" style="237" customWidth="1"/>
    <col min="10489" max="10490" width="17.28515625" style="237" customWidth="1"/>
    <col min="10491" max="10492" width="14.28515625" style="237" customWidth="1"/>
    <col min="10493" max="10493" width="16.140625" style="237" customWidth="1"/>
    <col min="10494" max="10494" width="19.5703125" style="237" customWidth="1"/>
    <col min="10495" max="10495" width="14.42578125" style="237" customWidth="1"/>
    <col min="10496" max="10497" width="18.5703125" style="237" customWidth="1"/>
    <col min="10498" max="10498" width="17.85546875" style="237" customWidth="1"/>
    <col min="10499" max="10499" width="18.5703125" style="237" customWidth="1"/>
    <col min="10500" max="10741" width="9.140625" style="237"/>
    <col min="10742" max="10742" width="7.42578125" style="237" customWidth="1"/>
    <col min="10743" max="10743" width="51.5703125" style="237" customWidth="1"/>
    <col min="10744" max="10744" width="18.28515625" style="237" customWidth="1"/>
    <col min="10745" max="10746" width="17.28515625" style="237" customWidth="1"/>
    <col min="10747" max="10748" width="14.28515625" style="237" customWidth="1"/>
    <col min="10749" max="10749" width="16.140625" style="237" customWidth="1"/>
    <col min="10750" max="10750" width="19.5703125" style="237" customWidth="1"/>
    <col min="10751" max="10751" width="14.42578125" style="237" customWidth="1"/>
    <col min="10752" max="10753" width="18.5703125" style="237" customWidth="1"/>
    <col min="10754" max="10754" width="17.85546875" style="237" customWidth="1"/>
    <col min="10755" max="10755" width="18.5703125" style="237" customWidth="1"/>
    <col min="10756" max="10997" width="9.140625" style="237"/>
    <col min="10998" max="10998" width="7.42578125" style="237" customWidth="1"/>
    <col min="10999" max="10999" width="51.5703125" style="237" customWidth="1"/>
    <col min="11000" max="11000" width="18.28515625" style="237" customWidth="1"/>
    <col min="11001" max="11002" width="17.28515625" style="237" customWidth="1"/>
    <col min="11003" max="11004" width="14.28515625" style="237" customWidth="1"/>
    <col min="11005" max="11005" width="16.140625" style="237" customWidth="1"/>
    <col min="11006" max="11006" width="19.5703125" style="237" customWidth="1"/>
    <col min="11007" max="11007" width="14.42578125" style="237" customWidth="1"/>
    <col min="11008" max="11009" width="18.5703125" style="237" customWidth="1"/>
    <col min="11010" max="11010" width="17.85546875" style="237" customWidth="1"/>
    <col min="11011" max="11011" width="18.5703125" style="237" customWidth="1"/>
    <col min="11012" max="11253" width="9.140625" style="237"/>
    <col min="11254" max="11254" width="7.42578125" style="237" customWidth="1"/>
    <col min="11255" max="11255" width="51.5703125" style="237" customWidth="1"/>
    <col min="11256" max="11256" width="18.28515625" style="237" customWidth="1"/>
    <col min="11257" max="11258" width="17.28515625" style="237" customWidth="1"/>
    <col min="11259" max="11260" width="14.28515625" style="237" customWidth="1"/>
    <col min="11261" max="11261" width="16.140625" style="237" customWidth="1"/>
    <col min="11262" max="11262" width="19.5703125" style="237" customWidth="1"/>
    <col min="11263" max="11263" width="14.42578125" style="237" customWidth="1"/>
    <col min="11264" max="11265" width="18.5703125" style="237" customWidth="1"/>
    <col min="11266" max="11266" width="17.85546875" style="237" customWidth="1"/>
    <col min="11267" max="11267" width="18.5703125" style="237" customWidth="1"/>
    <col min="11268" max="11509" width="9.140625" style="237"/>
    <col min="11510" max="11510" width="7.42578125" style="237" customWidth="1"/>
    <col min="11511" max="11511" width="51.5703125" style="237" customWidth="1"/>
    <col min="11512" max="11512" width="18.28515625" style="237" customWidth="1"/>
    <col min="11513" max="11514" width="17.28515625" style="237" customWidth="1"/>
    <col min="11515" max="11516" width="14.28515625" style="237" customWidth="1"/>
    <col min="11517" max="11517" width="16.140625" style="237" customWidth="1"/>
    <col min="11518" max="11518" width="19.5703125" style="237" customWidth="1"/>
    <col min="11519" max="11519" width="14.42578125" style="237" customWidth="1"/>
    <col min="11520" max="11521" width="18.5703125" style="237" customWidth="1"/>
    <col min="11522" max="11522" width="17.85546875" style="237" customWidth="1"/>
    <col min="11523" max="11523" width="18.5703125" style="237" customWidth="1"/>
    <col min="11524" max="11765" width="9.140625" style="237"/>
    <col min="11766" max="11766" width="7.42578125" style="237" customWidth="1"/>
    <col min="11767" max="11767" width="51.5703125" style="237" customWidth="1"/>
    <col min="11768" max="11768" width="18.28515625" style="237" customWidth="1"/>
    <col min="11769" max="11770" width="17.28515625" style="237" customWidth="1"/>
    <col min="11771" max="11772" width="14.28515625" style="237" customWidth="1"/>
    <col min="11773" max="11773" width="16.140625" style="237" customWidth="1"/>
    <col min="11774" max="11774" width="19.5703125" style="237" customWidth="1"/>
    <col min="11775" max="11775" width="14.42578125" style="237" customWidth="1"/>
    <col min="11776" max="11777" width="18.5703125" style="237" customWidth="1"/>
    <col min="11778" max="11778" width="17.85546875" style="237" customWidth="1"/>
    <col min="11779" max="11779" width="18.5703125" style="237" customWidth="1"/>
    <col min="11780" max="12021" width="9.140625" style="237"/>
    <col min="12022" max="12022" width="7.42578125" style="237" customWidth="1"/>
    <col min="12023" max="12023" width="51.5703125" style="237" customWidth="1"/>
    <col min="12024" max="12024" width="18.28515625" style="237" customWidth="1"/>
    <col min="12025" max="12026" width="17.28515625" style="237" customWidth="1"/>
    <col min="12027" max="12028" width="14.28515625" style="237" customWidth="1"/>
    <col min="12029" max="12029" width="16.140625" style="237" customWidth="1"/>
    <col min="12030" max="12030" width="19.5703125" style="237" customWidth="1"/>
    <col min="12031" max="12031" width="14.42578125" style="237" customWidth="1"/>
    <col min="12032" max="12033" width="18.5703125" style="237" customWidth="1"/>
    <col min="12034" max="12034" width="17.85546875" style="237" customWidth="1"/>
    <col min="12035" max="12035" width="18.5703125" style="237" customWidth="1"/>
    <col min="12036" max="12277" width="9.140625" style="237"/>
    <col min="12278" max="12278" width="7.42578125" style="237" customWidth="1"/>
    <col min="12279" max="12279" width="51.5703125" style="237" customWidth="1"/>
    <col min="12280" max="12280" width="18.28515625" style="237" customWidth="1"/>
    <col min="12281" max="12282" width="17.28515625" style="237" customWidth="1"/>
    <col min="12283" max="12284" width="14.28515625" style="237" customWidth="1"/>
    <col min="12285" max="12285" width="16.140625" style="237" customWidth="1"/>
    <col min="12286" max="12286" width="19.5703125" style="237" customWidth="1"/>
    <col min="12287" max="12287" width="14.42578125" style="237" customWidth="1"/>
    <col min="12288" max="12289" width="18.5703125" style="237" customWidth="1"/>
    <col min="12290" max="12290" width="17.85546875" style="237" customWidth="1"/>
    <col min="12291" max="12291" width="18.5703125" style="237" customWidth="1"/>
    <col min="12292" max="12533" width="9.140625" style="237"/>
    <col min="12534" max="12534" width="7.42578125" style="237" customWidth="1"/>
    <col min="12535" max="12535" width="51.5703125" style="237" customWidth="1"/>
    <col min="12536" max="12536" width="18.28515625" style="237" customWidth="1"/>
    <col min="12537" max="12538" width="17.28515625" style="237" customWidth="1"/>
    <col min="12539" max="12540" width="14.28515625" style="237" customWidth="1"/>
    <col min="12541" max="12541" width="16.140625" style="237" customWidth="1"/>
    <col min="12542" max="12542" width="19.5703125" style="237" customWidth="1"/>
    <col min="12543" max="12543" width="14.42578125" style="237" customWidth="1"/>
    <col min="12544" max="12545" width="18.5703125" style="237" customWidth="1"/>
    <col min="12546" max="12546" width="17.85546875" style="237" customWidth="1"/>
    <col min="12547" max="12547" width="18.5703125" style="237" customWidth="1"/>
    <col min="12548" max="12789" width="9.140625" style="237"/>
    <col min="12790" max="12790" width="7.42578125" style="237" customWidth="1"/>
    <col min="12791" max="12791" width="51.5703125" style="237" customWidth="1"/>
    <col min="12792" max="12792" width="18.28515625" style="237" customWidth="1"/>
    <col min="12793" max="12794" width="17.28515625" style="237" customWidth="1"/>
    <col min="12795" max="12796" width="14.28515625" style="237" customWidth="1"/>
    <col min="12797" max="12797" width="16.140625" style="237" customWidth="1"/>
    <col min="12798" max="12798" width="19.5703125" style="237" customWidth="1"/>
    <col min="12799" max="12799" width="14.42578125" style="237" customWidth="1"/>
    <col min="12800" max="12801" width="18.5703125" style="237" customWidth="1"/>
    <col min="12802" max="12802" width="17.85546875" style="237" customWidth="1"/>
    <col min="12803" max="12803" width="18.5703125" style="237" customWidth="1"/>
    <col min="12804" max="13045" width="9.140625" style="237"/>
    <col min="13046" max="13046" width="7.42578125" style="237" customWidth="1"/>
    <col min="13047" max="13047" width="51.5703125" style="237" customWidth="1"/>
    <col min="13048" max="13048" width="18.28515625" style="237" customWidth="1"/>
    <col min="13049" max="13050" width="17.28515625" style="237" customWidth="1"/>
    <col min="13051" max="13052" width="14.28515625" style="237" customWidth="1"/>
    <col min="13053" max="13053" width="16.140625" style="237" customWidth="1"/>
    <col min="13054" max="13054" width="19.5703125" style="237" customWidth="1"/>
    <col min="13055" max="13055" width="14.42578125" style="237" customWidth="1"/>
    <col min="13056" max="13057" width="18.5703125" style="237" customWidth="1"/>
    <col min="13058" max="13058" width="17.85546875" style="237" customWidth="1"/>
    <col min="13059" max="13059" width="18.5703125" style="237" customWidth="1"/>
    <col min="13060" max="13301" width="9.140625" style="237"/>
    <col min="13302" max="13302" width="7.42578125" style="237" customWidth="1"/>
    <col min="13303" max="13303" width="51.5703125" style="237" customWidth="1"/>
    <col min="13304" max="13304" width="18.28515625" style="237" customWidth="1"/>
    <col min="13305" max="13306" width="17.28515625" style="237" customWidth="1"/>
    <col min="13307" max="13308" width="14.28515625" style="237" customWidth="1"/>
    <col min="13309" max="13309" width="16.140625" style="237" customWidth="1"/>
    <col min="13310" max="13310" width="19.5703125" style="237" customWidth="1"/>
    <col min="13311" max="13311" width="14.42578125" style="237" customWidth="1"/>
    <col min="13312" max="13313" width="18.5703125" style="237" customWidth="1"/>
    <col min="13314" max="13314" width="17.85546875" style="237" customWidth="1"/>
    <col min="13315" max="13315" width="18.5703125" style="237" customWidth="1"/>
    <col min="13316" max="13557" width="9.140625" style="237"/>
    <col min="13558" max="13558" width="7.42578125" style="237" customWidth="1"/>
    <col min="13559" max="13559" width="51.5703125" style="237" customWidth="1"/>
    <col min="13560" max="13560" width="18.28515625" style="237" customWidth="1"/>
    <col min="13561" max="13562" width="17.28515625" style="237" customWidth="1"/>
    <col min="13563" max="13564" width="14.28515625" style="237" customWidth="1"/>
    <col min="13565" max="13565" width="16.140625" style="237" customWidth="1"/>
    <col min="13566" max="13566" width="19.5703125" style="237" customWidth="1"/>
    <col min="13567" max="13567" width="14.42578125" style="237" customWidth="1"/>
    <col min="13568" max="13569" width="18.5703125" style="237" customWidth="1"/>
    <col min="13570" max="13570" width="17.85546875" style="237" customWidth="1"/>
    <col min="13571" max="13571" width="18.5703125" style="237" customWidth="1"/>
    <col min="13572" max="13813" width="9.140625" style="237"/>
    <col min="13814" max="13814" width="7.42578125" style="237" customWidth="1"/>
    <col min="13815" max="13815" width="51.5703125" style="237" customWidth="1"/>
    <col min="13816" max="13816" width="18.28515625" style="237" customWidth="1"/>
    <col min="13817" max="13818" width="17.28515625" style="237" customWidth="1"/>
    <col min="13819" max="13820" width="14.28515625" style="237" customWidth="1"/>
    <col min="13821" max="13821" width="16.140625" style="237" customWidth="1"/>
    <col min="13822" max="13822" width="19.5703125" style="237" customWidth="1"/>
    <col min="13823" max="13823" width="14.42578125" style="237" customWidth="1"/>
    <col min="13824" max="13825" width="18.5703125" style="237" customWidth="1"/>
    <col min="13826" max="13826" width="17.85546875" style="237" customWidth="1"/>
    <col min="13827" max="13827" width="18.5703125" style="237" customWidth="1"/>
    <col min="13828" max="14069" width="9.140625" style="237"/>
    <col min="14070" max="14070" width="7.42578125" style="237" customWidth="1"/>
    <col min="14071" max="14071" width="51.5703125" style="237" customWidth="1"/>
    <col min="14072" max="14072" width="18.28515625" style="237" customWidth="1"/>
    <col min="14073" max="14074" width="17.28515625" style="237" customWidth="1"/>
    <col min="14075" max="14076" width="14.28515625" style="237" customWidth="1"/>
    <col min="14077" max="14077" width="16.140625" style="237" customWidth="1"/>
    <col min="14078" max="14078" width="19.5703125" style="237" customWidth="1"/>
    <col min="14079" max="14079" width="14.42578125" style="237" customWidth="1"/>
    <col min="14080" max="14081" width="18.5703125" style="237" customWidth="1"/>
    <col min="14082" max="14082" width="17.85546875" style="237" customWidth="1"/>
    <col min="14083" max="14083" width="18.5703125" style="237" customWidth="1"/>
    <col min="14084" max="14325" width="9.140625" style="237"/>
    <col min="14326" max="14326" width="7.42578125" style="237" customWidth="1"/>
    <col min="14327" max="14327" width="51.5703125" style="237" customWidth="1"/>
    <col min="14328" max="14328" width="18.28515625" style="237" customWidth="1"/>
    <col min="14329" max="14330" width="17.28515625" style="237" customWidth="1"/>
    <col min="14331" max="14332" width="14.28515625" style="237" customWidth="1"/>
    <col min="14333" max="14333" width="16.140625" style="237" customWidth="1"/>
    <col min="14334" max="14334" width="19.5703125" style="237" customWidth="1"/>
    <col min="14335" max="14335" width="14.42578125" style="237" customWidth="1"/>
    <col min="14336" max="14337" width="18.5703125" style="237" customWidth="1"/>
    <col min="14338" max="14338" width="17.85546875" style="237" customWidth="1"/>
    <col min="14339" max="14339" width="18.5703125" style="237" customWidth="1"/>
    <col min="14340" max="14581" width="9.140625" style="237"/>
    <col min="14582" max="14582" width="7.42578125" style="237" customWidth="1"/>
    <col min="14583" max="14583" width="51.5703125" style="237" customWidth="1"/>
    <col min="14584" max="14584" width="18.28515625" style="237" customWidth="1"/>
    <col min="14585" max="14586" width="17.28515625" style="237" customWidth="1"/>
    <col min="14587" max="14588" width="14.28515625" style="237" customWidth="1"/>
    <col min="14589" max="14589" width="16.140625" style="237" customWidth="1"/>
    <col min="14590" max="14590" width="19.5703125" style="237" customWidth="1"/>
    <col min="14591" max="14591" width="14.42578125" style="237" customWidth="1"/>
    <col min="14592" max="14593" width="18.5703125" style="237" customWidth="1"/>
    <col min="14594" max="14594" width="17.85546875" style="237" customWidth="1"/>
    <col min="14595" max="14595" width="18.5703125" style="237" customWidth="1"/>
    <col min="14596" max="14837" width="9.140625" style="237"/>
    <col min="14838" max="14838" width="7.42578125" style="237" customWidth="1"/>
    <col min="14839" max="14839" width="51.5703125" style="237" customWidth="1"/>
    <col min="14840" max="14840" width="18.28515625" style="237" customWidth="1"/>
    <col min="14841" max="14842" width="17.28515625" style="237" customWidth="1"/>
    <col min="14843" max="14844" width="14.28515625" style="237" customWidth="1"/>
    <col min="14845" max="14845" width="16.140625" style="237" customWidth="1"/>
    <col min="14846" max="14846" width="19.5703125" style="237" customWidth="1"/>
    <col min="14847" max="14847" width="14.42578125" style="237" customWidth="1"/>
    <col min="14848" max="14849" width="18.5703125" style="237" customWidth="1"/>
    <col min="14850" max="14850" width="17.85546875" style="237" customWidth="1"/>
    <col min="14851" max="14851" width="18.5703125" style="237" customWidth="1"/>
    <col min="14852" max="15093" width="9.140625" style="237"/>
    <col min="15094" max="15094" width="7.42578125" style="237" customWidth="1"/>
    <col min="15095" max="15095" width="51.5703125" style="237" customWidth="1"/>
    <col min="15096" max="15096" width="18.28515625" style="237" customWidth="1"/>
    <col min="15097" max="15098" width="17.28515625" style="237" customWidth="1"/>
    <col min="15099" max="15100" width="14.28515625" style="237" customWidth="1"/>
    <col min="15101" max="15101" width="16.140625" style="237" customWidth="1"/>
    <col min="15102" max="15102" width="19.5703125" style="237" customWidth="1"/>
    <col min="15103" max="15103" width="14.42578125" style="237" customWidth="1"/>
    <col min="15104" max="15105" width="18.5703125" style="237" customWidth="1"/>
    <col min="15106" max="15106" width="17.85546875" style="237" customWidth="1"/>
    <col min="15107" max="15107" width="18.5703125" style="237" customWidth="1"/>
    <col min="15108" max="15349" width="9.140625" style="237"/>
    <col min="15350" max="15350" width="7.42578125" style="237" customWidth="1"/>
    <col min="15351" max="15351" width="51.5703125" style="237" customWidth="1"/>
    <col min="15352" max="15352" width="18.28515625" style="237" customWidth="1"/>
    <col min="15353" max="15354" width="17.28515625" style="237" customWidth="1"/>
    <col min="15355" max="15356" width="14.28515625" style="237" customWidth="1"/>
    <col min="15357" max="15357" width="16.140625" style="237" customWidth="1"/>
    <col min="15358" max="15358" width="19.5703125" style="237" customWidth="1"/>
    <col min="15359" max="15359" width="14.42578125" style="237" customWidth="1"/>
    <col min="15360" max="15361" width="18.5703125" style="237" customWidth="1"/>
    <col min="15362" max="15362" width="17.85546875" style="237" customWidth="1"/>
    <col min="15363" max="15363" width="18.5703125" style="237" customWidth="1"/>
    <col min="15364" max="15605" width="9.140625" style="237"/>
    <col min="15606" max="15606" width="7.42578125" style="237" customWidth="1"/>
    <col min="15607" max="15607" width="51.5703125" style="237" customWidth="1"/>
    <col min="15608" max="15608" width="18.28515625" style="237" customWidth="1"/>
    <col min="15609" max="15610" width="17.28515625" style="237" customWidth="1"/>
    <col min="15611" max="15612" width="14.28515625" style="237" customWidth="1"/>
    <col min="15613" max="15613" width="16.140625" style="237" customWidth="1"/>
    <col min="15614" max="15614" width="19.5703125" style="237" customWidth="1"/>
    <col min="15615" max="15615" width="14.42578125" style="237" customWidth="1"/>
    <col min="15616" max="15617" width="18.5703125" style="237" customWidth="1"/>
    <col min="15618" max="15618" width="17.85546875" style="237" customWidth="1"/>
    <col min="15619" max="15619" width="18.5703125" style="237" customWidth="1"/>
    <col min="15620" max="15861" width="9.140625" style="237"/>
    <col min="15862" max="15862" width="7.42578125" style="237" customWidth="1"/>
    <col min="15863" max="15863" width="51.5703125" style="237" customWidth="1"/>
    <col min="15864" max="15864" width="18.28515625" style="237" customWidth="1"/>
    <col min="15865" max="15866" width="17.28515625" style="237" customWidth="1"/>
    <col min="15867" max="15868" width="14.28515625" style="237" customWidth="1"/>
    <col min="15869" max="15869" width="16.140625" style="237" customWidth="1"/>
    <col min="15870" max="15870" width="19.5703125" style="237" customWidth="1"/>
    <col min="15871" max="15871" width="14.42578125" style="237" customWidth="1"/>
    <col min="15872" max="15873" width="18.5703125" style="237" customWidth="1"/>
    <col min="15874" max="15874" width="17.85546875" style="237" customWidth="1"/>
    <col min="15875" max="15875" width="18.5703125" style="237" customWidth="1"/>
    <col min="15876" max="16117" width="9.140625" style="237"/>
    <col min="16118" max="16118" width="7.42578125" style="237" customWidth="1"/>
    <col min="16119" max="16119" width="51.5703125" style="237" customWidth="1"/>
    <col min="16120" max="16120" width="18.28515625" style="237" customWidth="1"/>
    <col min="16121" max="16122" width="17.28515625" style="237" customWidth="1"/>
    <col min="16123" max="16124" width="14.28515625" style="237" customWidth="1"/>
    <col min="16125" max="16125" width="16.140625" style="237" customWidth="1"/>
    <col min="16126" max="16126" width="19.5703125" style="237" customWidth="1"/>
    <col min="16127" max="16127" width="14.42578125" style="237" customWidth="1"/>
    <col min="16128" max="16129" width="18.5703125" style="237" customWidth="1"/>
    <col min="16130" max="16130" width="17.85546875" style="237" customWidth="1"/>
    <col min="16131" max="16131" width="18.5703125" style="237" customWidth="1"/>
    <col min="16132" max="16384" width="9.140625" style="237"/>
  </cols>
  <sheetData>
    <row r="1" spans="1:4" ht="18.75">
      <c r="A1" s="1285" t="s">
        <v>492</v>
      </c>
      <c r="B1" s="1285"/>
      <c r="C1" s="1285"/>
      <c r="D1" s="60"/>
    </row>
    <row r="2" spans="1:4" ht="18.75">
      <c r="A2" s="1286" t="s">
        <v>491</v>
      </c>
      <c r="B2" s="1286"/>
      <c r="C2" s="1286"/>
      <c r="D2" s="60"/>
    </row>
    <row r="3" spans="1:4" ht="18.75">
      <c r="A3" s="1286" t="s">
        <v>1828</v>
      </c>
      <c r="B3" s="1286"/>
      <c r="C3" s="1286"/>
      <c r="D3" s="60"/>
    </row>
    <row r="4" spans="1:4" ht="15.75">
      <c r="A4" s="376"/>
      <c r="B4" s="63"/>
      <c r="C4" s="63"/>
      <c r="D4" s="60"/>
    </row>
    <row r="5" spans="1:4" ht="15.75">
      <c r="A5" s="63"/>
      <c r="B5" s="63"/>
      <c r="C5" s="364" t="s">
        <v>490</v>
      </c>
      <c r="D5" s="60"/>
    </row>
    <row r="6" spans="1:4" s="62" customFormat="1" ht="37.5" customHeight="1">
      <c r="A6" s="1287" t="s">
        <v>489</v>
      </c>
      <c r="B6" s="1287" t="s">
        <v>488</v>
      </c>
      <c r="C6" s="1282" t="s">
        <v>487</v>
      </c>
    </row>
    <row r="7" spans="1:4" s="62" customFormat="1" ht="16.5" customHeight="1">
      <c r="A7" s="1288"/>
      <c r="B7" s="1288"/>
      <c r="C7" s="1283"/>
    </row>
    <row r="8" spans="1:4" s="62" customFormat="1" ht="45.75" customHeight="1">
      <c r="A8" s="1288"/>
      <c r="B8" s="1288"/>
      <c r="C8" s="1283"/>
    </row>
    <row r="9" spans="1:4" s="62" customFormat="1" ht="45.75" customHeight="1">
      <c r="A9" s="1289"/>
      <c r="B9" s="1289"/>
      <c r="C9" s="1284"/>
    </row>
    <row r="10" spans="1:4" s="62" customFormat="1" ht="15.75">
      <c r="A10" s="377">
        <v>1</v>
      </c>
      <c r="B10" s="378">
        <v>2</v>
      </c>
      <c r="C10" s="378">
        <v>13</v>
      </c>
    </row>
    <row r="11" spans="1:4" s="61" customFormat="1" ht="15.75">
      <c r="A11" s="379">
        <v>1</v>
      </c>
      <c r="B11" s="380" t="s">
        <v>484</v>
      </c>
      <c r="C11" s="381">
        <v>19766373</v>
      </c>
    </row>
    <row r="12" spans="1:4" s="62" customFormat="1" ht="25.5">
      <c r="A12" s="382">
        <v>1.1000000000000001</v>
      </c>
      <c r="B12" s="383" t="s">
        <v>483</v>
      </c>
      <c r="C12" s="384">
        <v>14036079</v>
      </c>
    </row>
    <row r="13" spans="1:4" s="62" customFormat="1" ht="25.5">
      <c r="A13" s="382">
        <v>1.2</v>
      </c>
      <c r="B13" s="383" t="s">
        <v>482</v>
      </c>
      <c r="C13" s="384">
        <v>29525</v>
      </c>
    </row>
    <row r="14" spans="1:4" s="62" customFormat="1" ht="15.75">
      <c r="A14" s="382">
        <v>1.3</v>
      </c>
      <c r="B14" s="383" t="s">
        <v>481</v>
      </c>
      <c r="C14" s="384">
        <v>144036</v>
      </c>
    </row>
    <row r="15" spans="1:4" s="62" customFormat="1" ht="25.5">
      <c r="A15" s="382">
        <v>1.4</v>
      </c>
      <c r="B15" s="383" t="s">
        <v>480</v>
      </c>
      <c r="C15" s="384">
        <v>-685</v>
      </c>
    </row>
    <row r="16" spans="1:4" s="62" customFormat="1" ht="15.75">
      <c r="A16" s="382">
        <v>1.5</v>
      </c>
      <c r="B16" s="383" t="s">
        <v>479</v>
      </c>
      <c r="C16" s="384">
        <v>40959</v>
      </c>
    </row>
    <row r="17" spans="1:3" s="62" customFormat="1" ht="25.5">
      <c r="A17" s="382">
        <v>1.6</v>
      </c>
      <c r="B17" s="383" t="s">
        <v>478</v>
      </c>
      <c r="C17" s="384">
        <v>0</v>
      </c>
    </row>
    <row r="18" spans="1:3" s="62" customFormat="1" ht="25.5">
      <c r="A18" s="382">
        <v>1.7</v>
      </c>
      <c r="B18" s="383" t="s">
        <v>477</v>
      </c>
      <c r="C18" s="384">
        <v>336837</v>
      </c>
    </row>
    <row r="19" spans="1:3" s="62" customFormat="1" ht="38.25">
      <c r="A19" s="382">
        <v>1.8</v>
      </c>
      <c r="B19" s="383" t="s">
        <v>476</v>
      </c>
      <c r="C19" s="384">
        <v>24752</v>
      </c>
    </row>
    <row r="20" spans="1:3" s="62" customFormat="1" ht="25.5">
      <c r="A20" s="382">
        <v>1.9</v>
      </c>
      <c r="B20" s="383" t="s">
        <v>475</v>
      </c>
      <c r="C20" s="384">
        <v>5154870</v>
      </c>
    </row>
    <row r="21" spans="1:3" s="62" customFormat="1" ht="15.75">
      <c r="A21" s="382">
        <v>1.1000000000000001</v>
      </c>
      <c r="B21" s="383" t="s">
        <v>448</v>
      </c>
      <c r="C21" s="384">
        <v>0</v>
      </c>
    </row>
    <row r="22" spans="1:3" s="61" customFormat="1" ht="15.75">
      <c r="A22" s="379">
        <v>2</v>
      </c>
      <c r="B22" s="380" t="s">
        <v>474</v>
      </c>
      <c r="C22" s="381">
        <v>31520651</v>
      </c>
    </row>
    <row r="23" spans="1:3" s="62" customFormat="1" ht="15.75">
      <c r="A23" s="382">
        <v>2.1</v>
      </c>
      <c r="B23" s="383" t="s">
        <v>473</v>
      </c>
      <c r="C23" s="384">
        <v>1085279</v>
      </c>
    </row>
    <row r="24" spans="1:3" s="62" customFormat="1" ht="15.75">
      <c r="A24" s="382">
        <v>2.2000000000000002</v>
      </c>
      <c r="B24" s="383" t="s">
        <v>472</v>
      </c>
      <c r="C24" s="384">
        <v>11149690</v>
      </c>
    </row>
    <row r="25" spans="1:3" s="62" customFormat="1" ht="51">
      <c r="A25" s="385" t="s">
        <v>495</v>
      </c>
      <c r="B25" s="383" t="s">
        <v>471</v>
      </c>
      <c r="C25" s="384">
        <v>6257249</v>
      </c>
    </row>
    <row r="26" spans="1:3" s="62" customFormat="1" ht="51">
      <c r="A26" s="385" t="s">
        <v>496</v>
      </c>
      <c r="B26" s="383" t="s">
        <v>470</v>
      </c>
      <c r="C26" s="384">
        <v>4684778</v>
      </c>
    </row>
    <row r="27" spans="1:3" s="62" customFormat="1" ht="15.75">
      <c r="A27" s="385" t="s">
        <v>497</v>
      </c>
      <c r="B27" s="383" t="s">
        <v>469</v>
      </c>
      <c r="C27" s="384">
        <v>207663</v>
      </c>
    </row>
    <row r="28" spans="1:3" s="62" customFormat="1" ht="15.75">
      <c r="A28" s="382">
        <v>2.2999999999999998</v>
      </c>
      <c r="B28" s="383" t="s">
        <v>468</v>
      </c>
      <c r="C28" s="384">
        <v>1415995</v>
      </c>
    </row>
    <row r="29" spans="1:3" s="62" customFormat="1" ht="15.75">
      <c r="A29" s="386">
        <v>2.4</v>
      </c>
      <c r="B29" s="387" t="s">
        <v>467</v>
      </c>
      <c r="C29" s="388">
        <v>17869687</v>
      </c>
    </row>
    <row r="30" spans="1:3" s="62" customFormat="1" ht="15.75">
      <c r="A30" s="382">
        <v>2.5</v>
      </c>
      <c r="B30" s="383" t="s">
        <v>448</v>
      </c>
      <c r="C30" s="384">
        <v>0</v>
      </c>
    </row>
    <row r="31" spans="1:3" s="61" customFormat="1" ht="15.75">
      <c r="A31" s="379">
        <v>3</v>
      </c>
      <c r="B31" s="380" t="s">
        <v>466</v>
      </c>
      <c r="C31" s="381">
        <v>19386103</v>
      </c>
    </row>
    <row r="32" spans="1:3" s="62" customFormat="1" ht="15.75">
      <c r="A32" s="382">
        <v>3.1</v>
      </c>
      <c r="B32" s="383" t="s">
        <v>465</v>
      </c>
      <c r="C32" s="384">
        <v>4805344</v>
      </c>
    </row>
    <row r="33" spans="1:3" s="62" customFormat="1" ht="15.75">
      <c r="A33" s="382">
        <v>3.2</v>
      </c>
      <c r="B33" s="383" t="s">
        <v>464</v>
      </c>
      <c r="C33" s="384">
        <v>65539</v>
      </c>
    </row>
    <row r="34" spans="1:3" s="62" customFormat="1" ht="15.75">
      <c r="A34" s="382">
        <v>3.3</v>
      </c>
      <c r="B34" s="383" t="s">
        <v>463</v>
      </c>
      <c r="C34" s="384">
        <v>55781</v>
      </c>
    </row>
    <row r="35" spans="1:3" s="62" customFormat="1" ht="15.75">
      <c r="A35" s="382">
        <v>3.4</v>
      </c>
      <c r="B35" s="383" t="s">
        <v>462</v>
      </c>
      <c r="C35" s="384">
        <v>533238</v>
      </c>
    </row>
    <row r="36" spans="1:3" s="62" customFormat="1" ht="15.75">
      <c r="A36" s="382">
        <v>3.5</v>
      </c>
      <c r="B36" s="383" t="s">
        <v>461</v>
      </c>
      <c r="C36" s="384">
        <v>124344</v>
      </c>
    </row>
    <row r="37" spans="1:3" s="62" customFormat="1" ht="15.75">
      <c r="A37" s="382">
        <v>3.6</v>
      </c>
      <c r="B37" s="383" t="s">
        <v>460</v>
      </c>
      <c r="C37" s="384">
        <v>12361606</v>
      </c>
    </row>
    <row r="38" spans="1:3" s="62" customFormat="1" ht="25.5">
      <c r="A38" s="382">
        <v>3.7</v>
      </c>
      <c r="B38" s="383" t="s">
        <v>459</v>
      </c>
      <c r="C38" s="384">
        <v>62596</v>
      </c>
    </row>
    <row r="39" spans="1:3" s="62" customFormat="1" ht="25.5">
      <c r="A39" s="382">
        <v>3.8</v>
      </c>
      <c r="B39" s="383" t="s">
        <v>458</v>
      </c>
      <c r="C39" s="384">
        <v>1017479</v>
      </c>
    </row>
    <row r="40" spans="1:3" s="62" customFormat="1" ht="25.5">
      <c r="A40" s="382">
        <v>3.9</v>
      </c>
      <c r="B40" s="383" t="s">
        <v>457</v>
      </c>
      <c r="C40" s="384">
        <v>0</v>
      </c>
    </row>
    <row r="41" spans="1:3" s="62" customFormat="1" ht="25.5">
      <c r="A41" s="382">
        <v>3.1</v>
      </c>
      <c r="B41" s="383" t="s">
        <v>456</v>
      </c>
      <c r="C41" s="384">
        <v>507538</v>
      </c>
    </row>
    <row r="42" spans="1:3" s="62" customFormat="1" ht="15.75">
      <c r="A42" s="382">
        <v>3.11</v>
      </c>
      <c r="B42" s="383" t="s">
        <v>455</v>
      </c>
      <c r="C42" s="384">
        <v>5775</v>
      </c>
    </row>
    <row r="43" spans="1:3" s="62" customFormat="1" ht="15.75">
      <c r="A43" s="382">
        <v>3.12</v>
      </c>
      <c r="B43" s="383" t="s">
        <v>454</v>
      </c>
      <c r="C43" s="384">
        <v>0</v>
      </c>
    </row>
    <row r="44" spans="1:3" s="62" customFormat="1" ht="15.75">
      <c r="A44" s="382">
        <v>3.13</v>
      </c>
      <c r="B44" s="383" t="s">
        <v>453</v>
      </c>
      <c r="C44" s="384">
        <v>0</v>
      </c>
    </row>
    <row r="45" spans="1:3" s="62" customFormat="1" ht="15.75">
      <c r="A45" s="382">
        <v>3.14</v>
      </c>
      <c r="B45" s="383" t="s">
        <v>452</v>
      </c>
      <c r="C45" s="384">
        <v>-183063</v>
      </c>
    </row>
    <row r="46" spans="1:3" s="62" customFormat="1" ht="25.5">
      <c r="A46" s="382">
        <v>3.15</v>
      </c>
      <c r="B46" s="383" t="s">
        <v>451</v>
      </c>
      <c r="C46" s="384">
        <v>29787</v>
      </c>
    </row>
    <row r="47" spans="1:3" s="62" customFormat="1" ht="15.75">
      <c r="A47" s="382">
        <v>3.16</v>
      </c>
      <c r="B47" s="383" t="s">
        <v>450</v>
      </c>
      <c r="C47" s="384">
        <v>0</v>
      </c>
    </row>
    <row r="48" spans="1:3" s="62" customFormat="1" ht="15.75">
      <c r="A48" s="382">
        <v>3.17</v>
      </c>
      <c r="B48" s="383" t="s">
        <v>449</v>
      </c>
      <c r="C48" s="384">
        <v>139</v>
      </c>
    </row>
    <row r="49" spans="1:4" s="62" customFormat="1" ht="15.75">
      <c r="A49" s="382">
        <v>3.18</v>
      </c>
      <c r="B49" s="383" t="s">
        <v>448</v>
      </c>
      <c r="C49" s="384">
        <v>0</v>
      </c>
    </row>
    <row r="50" spans="1:4" s="61" customFormat="1" ht="15.75">
      <c r="A50" s="379">
        <v>4</v>
      </c>
      <c r="B50" s="380" t="s">
        <v>6</v>
      </c>
      <c r="C50" s="381">
        <v>70673127</v>
      </c>
    </row>
    <row r="51" spans="1:4">
      <c r="A51" s="60"/>
      <c r="B51" s="60"/>
      <c r="C51" s="60"/>
      <c r="D51" s="60"/>
    </row>
    <row r="52" spans="1:4">
      <c r="A52" s="60"/>
      <c r="B52" s="60"/>
      <c r="C52" s="60"/>
      <c r="D52" s="60"/>
    </row>
    <row r="53" spans="1:4" s="375" customFormat="1" ht="11.25">
      <c r="A53" s="1279" t="s">
        <v>623</v>
      </c>
      <c r="B53" s="1279"/>
      <c r="C53" s="1279"/>
    </row>
    <row r="54" spans="1:4" s="64" customFormat="1" ht="18.75">
      <c r="A54" s="1280"/>
      <c r="B54" s="1280"/>
      <c r="C54" s="1280"/>
      <c r="D54" s="1280"/>
    </row>
    <row r="55" spans="1:4" s="64" customFormat="1"/>
    <row r="56" spans="1:4" s="375" customFormat="1">
      <c r="A56" s="1281"/>
      <c r="B56" s="1281"/>
    </row>
  </sheetData>
  <mergeCells count="9">
    <mergeCell ref="A53:C53"/>
    <mergeCell ref="A54:D54"/>
    <mergeCell ref="A56:B56"/>
    <mergeCell ref="C6:C9"/>
    <mergeCell ref="A1:C1"/>
    <mergeCell ref="A2:C2"/>
    <mergeCell ref="A3:C3"/>
    <mergeCell ref="A6:A9"/>
    <mergeCell ref="B6:B9"/>
  </mergeCells>
  <pageMargins left="0.39370078740157483" right="0" top="0.39370078740157483" bottom="0" header="0.51181102362204722" footer="0.51181102362204722"/>
  <pageSetup paperSize="9" scale="48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topLeftCell="A16" workbookViewId="0">
      <selection activeCell="K45" sqref="K45"/>
    </sheetView>
  </sheetViews>
  <sheetFormatPr defaultRowHeight="12.75"/>
  <cols>
    <col min="1" max="1" width="7" style="237" customWidth="1"/>
    <col min="2" max="2" width="54.42578125" style="237" customWidth="1"/>
    <col min="3" max="3" width="16.140625" style="237" customWidth="1"/>
    <col min="4" max="5" width="9.140625" style="237"/>
    <col min="6" max="6" width="10.140625" style="237" bestFit="1" customWidth="1"/>
    <col min="7" max="242" width="9.140625" style="237"/>
    <col min="243" max="243" width="7" style="237" customWidth="1"/>
    <col min="244" max="244" width="54.42578125" style="237" customWidth="1"/>
    <col min="245" max="245" width="16.5703125" style="237" customWidth="1"/>
    <col min="246" max="246" width="15.140625" style="237" customWidth="1"/>
    <col min="247" max="247" width="16.42578125" style="237" customWidth="1"/>
    <col min="248" max="248" width="17" style="237" customWidth="1"/>
    <col min="249" max="249" width="16.42578125" style="237" customWidth="1"/>
    <col min="250" max="250" width="16.5703125" style="237" customWidth="1"/>
    <col min="251" max="252" width="18.28515625" style="237" customWidth="1"/>
    <col min="253" max="253" width="17.5703125" style="237" customWidth="1"/>
    <col min="254" max="254" width="16.140625" style="237" customWidth="1"/>
    <col min="255" max="255" width="19.28515625" style="237" customWidth="1"/>
    <col min="256" max="256" width="18.85546875" style="237" customWidth="1"/>
    <col min="257" max="257" width="17" style="237" customWidth="1"/>
    <col min="258" max="258" width="19.7109375" style="237" customWidth="1"/>
    <col min="259" max="259" width="19" style="237" customWidth="1"/>
    <col min="260" max="498" width="9.140625" style="237"/>
    <col min="499" max="499" width="7" style="237" customWidth="1"/>
    <col min="500" max="500" width="54.42578125" style="237" customWidth="1"/>
    <col min="501" max="501" width="16.5703125" style="237" customWidth="1"/>
    <col min="502" max="502" width="15.140625" style="237" customWidth="1"/>
    <col min="503" max="503" width="16.42578125" style="237" customWidth="1"/>
    <col min="504" max="504" width="17" style="237" customWidth="1"/>
    <col min="505" max="505" width="16.42578125" style="237" customWidth="1"/>
    <col min="506" max="506" width="16.5703125" style="237" customWidth="1"/>
    <col min="507" max="508" width="18.28515625" style="237" customWidth="1"/>
    <col min="509" max="509" width="17.5703125" style="237" customWidth="1"/>
    <col min="510" max="510" width="16.140625" style="237" customWidth="1"/>
    <col min="511" max="511" width="19.28515625" style="237" customWidth="1"/>
    <col min="512" max="512" width="18.85546875" style="237" customWidth="1"/>
    <col min="513" max="513" width="17" style="237" customWidth="1"/>
    <col min="514" max="514" width="19.7109375" style="237" customWidth="1"/>
    <col min="515" max="515" width="19" style="237" customWidth="1"/>
    <col min="516" max="754" width="9.140625" style="237"/>
    <col min="755" max="755" width="7" style="237" customWidth="1"/>
    <col min="756" max="756" width="54.42578125" style="237" customWidth="1"/>
    <col min="757" max="757" width="16.5703125" style="237" customWidth="1"/>
    <col min="758" max="758" width="15.140625" style="237" customWidth="1"/>
    <col min="759" max="759" width="16.42578125" style="237" customWidth="1"/>
    <col min="760" max="760" width="17" style="237" customWidth="1"/>
    <col min="761" max="761" width="16.42578125" style="237" customWidth="1"/>
    <col min="762" max="762" width="16.5703125" style="237" customWidth="1"/>
    <col min="763" max="764" width="18.28515625" style="237" customWidth="1"/>
    <col min="765" max="765" width="17.5703125" style="237" customWidth="1"/>
    <col min="766" max="766" width="16.140625" style="237" customWidth="1"/>
    <col min="767" max="767" width="19.28515625" style="237" customWidth="1"/>
    <col min="768" max="768" width="18.85546875" style="237" customWidth="1"/>
    <col min="769" max="769" width="17" style="237" customWidth="1"/>
    <col min="770" max="770" width="19.7109375" style="237" customWidth="1"/>
    <col min="771" max="771" width="19" style="237" customWidth="1"/>
    <col min="772" max="1010" width="9.140625" style="237"/>
    <col min="1011" max="1011" width="7" style="237" customWidth="1"/>
    <col min="1012" max="1012" width="54.42578125" style="237" customWidth="1"/>
    <col min="1013" max="1013" width="16.5703125" style="237" customWidth="1"/>
    <col min="1014" max="1014" width="15.140625" style="237" customWidth="1"/>
    <col min="1015" max="1015" width="16.42578125" style="237" customWidth="1"/>
    <col min="1016" max="1016" width="17" style="237" customWidth="1"/>
    <col min="1017" max="1017" width="16.42578125" style="237" customWidth="1"/>
    <col min="1018" max="1018" width="16.5703125" style="237" customWidth="1"/>
    <col min="1019" max="1020" width="18.28515625" style="237" customWidth="1"/>
    <col min="1021" max="1021" width="17.5703125" style="237" customWidth="1"/>
    <col min="1022" max="1022" width="16.140625" style="237" customWidth="1"/>
    <col min="1023" max="1023" width="19.28515625" style="237" customWidth="1"/>
    <col min="1024" max="1024" width="18.85546875" style="237" customWidth="1"/>
    <col min="1025" max="1025" width="17" style="237" customWidth="1"/>
    <col min="1026" max="1026" width="19.7109375" style="237" customWidth="1"/>
    <col min="1027" max="1027" width="19" style="237" customWidth="1"/>
    <col min="1028" max="1266" width="9.140625" style="237"/>
    <col min="1267" max="1267" width="7" style="237" customWidth="1"/>
    <col min="1268" max="1268" width="54.42578125" style="237" customWidth="1"/>
    <col min="1269" max="1269" width="16.5703125" style="237" customWidth="1"/>
    <col min="1270" max="1270" width="15.140625" style="237" customWidth="1"/>
    <col min="1271" max="1271" width="16.42578125" style="237" customWidth="1"/>
    <col min="1272" max="1272" width="17" style="237" customWidth="1"/>
    <col min="1273" max="1273" width="16.42578125" style="237" customWidth="1"/>
    <col min="1274" max="1274" width="16.5703125" style="237" customWidth="1"/>
    <col min="1275" max="1276" width="18.28515625" style="237" customWidth="1"/>
    <col min="1277" max="1277" width="17.5703125" style="237" customWidth="1"/>
    <col min="1278" max="1278" width="16.140625" style="237" customWidth="1"/>
    <col min="1279" max="1279" width="19.28515625" style="237" customWidth="1"/>
    <col min="1280" max="1280" width="18.85546875" style="237" customWidth="1"/>
    <col min="1281" max="1281" width="17" style="237" customWidth="1"/>
    <col min="1282" max="1282" width="19.7109375" style="237" customWidth="1"/>
    <col min="1283" max="1283" width="19" style="237" customWidth="1"/>
    <col min="1284" max="1522" width="9.140625" style="237"/>
    <col min="1523" max="1523" width="7" style="237" customWidth="1"/>
    <col min="1524" max="1524" width="54.42578125" style="237" customWidth="1"/>
    <col min="1525" max="1525" width="16.5703125" style="237" customWidth="1"/>
    <col min="1526" max="1526" width="15.140625" style="237" customWidth="1"/>
    <col min="1527" max="1527" width="16.42578125" style="237" customWidth="1"/>
    <col min="1528" max="1528" width="17" style="237" customWidth="1"/>
    <col min="1529" max="1529" width="16.42578125" style="237" customWidth="1"/>
    <col min="1530" max="1530" width="16.5703125" style="237" customWidth="1"/>
    <col min="1531" max="1532" width="18.28515625" style="237" customWidth="1"/>
    <col min="1533" max="1533" width="17.5703125" style="237" customWidth="1"/>
    <col min="1534" max="1534" width="16.140625" style="237" customWidth="1"/>
    <col min="1535" max="1535" width="19.28515625" style="237" customWidth="1"/>
    <col min="1536" max="1536" width="18.85546875" style="237" customWidth="1"/>
    <col min="1537" max="1537" width="17" style="237" customWidth="1"/>
    <col min="1538" max="1538" width="19.7109375" style="237" customWidth="1"/>
    <col min="1539" max="1539" width="19" style="237" customWidth="1"/>
    <col min="1540" max="1778" width="9.140625" style="237"/>
    <col min="1779" max="1779" width="7" style="237" customWidth="1"/>
    <col min="1780" max="1780" width="54.42578125" style="237" customWidth="1"/>
    <col min="1781" max="1781" width="16.5703125" style="237" customWidth="1"/>
    <col min="1782" max="1782" width="15.140625" style="237" customWidth="1"/>
    <col min="1783" max="1783" width="16.42578125" style="237" customWidth="1"/>
    <col min="1784" max="1784" width="17" style="237" customWidth="1"/>
    <col min="1785" max="1785" width="16.42578125" style="237" customWidth="1"/>
    <col min="1786" max="1786" width="16.5703125" style="237" customWidth="1"/>
    <col min="1787" max="1788" width="18.28515625" style="237" customWidth="1"/>
    <col min="1789" max="1789" width="17.5703125" style="237" customWidth="1"/>
    <col min="1790" max="1790" width="16.140625" style="237" customWidth="1"/>
    <col min="1791" max="1791" width="19.28515625" style="237" customWidth="1"/>
    <col min="1792" max="1792" width="18.85546875" style="237" customWidth="1"/>
    <col min="1793" max="1793" width="17" style="237" customWidth="1"/>
    <col min="1794" max="1794" width="19.7109375" style="237" customWidth="1"/>
    <col min="1795" max="1795" width="19" style="237" customWidth="1"/>
    <col min="1796" max="2034" width="9.140625" style="237"/>
    <col min="2035" max="2035" width="7" style="237" customWidth="1"/>
    <col min="2036" max="2036" width="54.42578125" style="237" customWidth="1"/>
    <col min="2037" max="2037" width="16.5703125" style="237" customWidth="1"/>
    <col min="2038" max="2038" width="15.140625" style="237" customWidth="1"/>
    <col min="2039" max="2039" width="16.42578125" style="237" customWidth="1"/>
    <col min="2040" max="2040" width="17" style="237" customWidth="1"/>
    <col min="2041" max="2041" width="16.42578125" style="237" customWidth="1"/>
    <col min="2042" max="2042" width="16.5703125" style="237" customWidth="1"/>
    <col min="2043" max="2044" width="18.28515625" style="237" customWidth="1"/>
    <col min="2045" max="2045" width="17.5703125" style="237" customWidth="1"/>
    <col min="2046" max="2046" width="16.140625" style="237" customWidth="1"/>
    <col min="2047" max="2047" width="19.28515625" style="237" customWidth="1"/>
    <col min="2048" max="2048" width="18.85546875" style="237" customWidth="1"/>
    <col min="2049" max="2049" width="17" style="237" customWidth="1"/>
    <col min="2050" max="2050" width="19.7109375" style="237" customWidth="1"/>
    <col min="2051" max="2051" width="19" style="237" customWidth="1"/>
    <col min="2052" max="2290" width="9.140625" style="237"/>
    <col min="2291" max="2291" width="7" style="237" customWidth="1"/>
    <col min="2292" max="2292" width="54.42578125" style="237" customWidth="1"/>
    <col min="2293" max="2293" width="16.5703125" style="237" customWidth="1"/>
    <col min="2294" max="2294" width="15.140625" style="237" customWidth="1"/>
    <col min="2295" max="2295" width="16.42578125" style="237" customWidth="1"/>
    <col min="2296" max="2296" width="17" style="237" customWidth="1"/>
    <col min="2297" max="2297" width="16.42578125" style="237" customWidth="1"/>
    <col min="2298" max="2298" width="16.5703125" style="237" customWidth="1"/>
    <col min="2299" max="2300" width="18.28515625" style="237" customWidth="1"/>
    <col min="2301" max="2301" width="17.5703125" style="237" customWidth="1"/>
    <col min="2302" max="2302" width="16.140625" style="237" customWidth="1"/>
    <col min="2303" max="2303" width="19.28515625" style="237" customWidth="1"/>
    <col min="2304" max="2304" width="18.85546875" style="237" customWidth="1"/>
    <col min="2305" max="2305" width="17" style="237" customWidth="1"/>
    <col min="2306" max="2306" width="19.7109375" style="237" customWidth="1"/>
    <col min="2307" max="2307" width="19" style="237" customWidth="1"/>
    <col min="2308" max="2546" width="9.140625" style="237"/>
    <col min="2547" max="2547" width="7" style="237" customWidth="1"/>
    <col min="2548" max="2548" width="54.42578125" style="237" customWidth="1"/>
    <col min="2549" max="2549" width="16.5703125" style="237" customWidth="1"/>
    <col min="2550" max="2550" width="15.140625" style="237" customWidth="1"/>
    <col min="2551" max="2551" width="16.42578125" style="237" customWidth="1"/>
    <col min="2552" max="2552" width="17" style="237" customWidth="1"/>
    <col min="2553" max="2553" width="16.42578125" style="237" customWidth="1"/>
    <col min="2554" max="2554" width="16.5703125" style="237" customWidth="1"/>
    <col min="2555" max="2556" width="18.28515625" style="237" customWidth="1"/>
    <col min="2557" max="2557" width="17.5703125" style="237" customWidth="1"/>
    <col min="2558" max="2558" width="16.140625" style="237" customWidth="1"/>
    <col min="2559" max="2559" width="19.28515625" style="237" customWidth="1"/>
    <col min="2560" max="2560" width="18.85546875" style="237" customWidth="1"/>
    <col min="2561" max="2561" width="17" style="237" customWidth="1"/>
    <col min="2562" max="2562" width="19.7109375" style="237" customWidth="1"/>
    <col min="2563" max="2563" width="19" style="237" customWidth="1"/>
    <col min="2564" max="2802" width="9.140625" style="237"/>
    <col min="2803" max="2803" width="7" style="237" customWidth="1"/>
    <col min="2804" max="2804" width="54.42578125" style="237" customWidth="1"/>
    <col min="2805" max="2805" width="16.5703125" style="237" customWidth="1"/>
    <col min="2806" max="2806" width="15.140625" style="237" customWidth="1"/>
    <col min="2807" max="2807" width="16.42578125" style="237" customWidth="1"/>
    <col min="2808" max="2808" width="17" style="237" customWidth="1"/>
    <col min="2809" max="2809" width="16.42578125" style="237" customWidth="1"/>
    <col min="2810" max="2810" width="16.5703125" style="237" customWidth="1"/>
    <col min="2811" max="2812" width="18.28515625" style="237" customWidth="1"/>
    <col min="2813" max="2813" width="17.5703125" style="237" customWidth="1"/>
    <col min="2814" max="2814" width="16.140625" style="237" customWidth="1"/>
    <col min="2815" max="2815" width="19.28515625" style="237" customWidth="1"/>
    <col min="2816" max="2816" width="18.85546875" style="237" customWidth="1"/>
    <col min="2817" max="2817" width="17" style="237" customWidth="1"/>
    <col min="2818" max="2818" width="19.7109375" style="237" customWidth="1"/>
    <col min="2819" max="2819" width="19" style="237" customWidth="1"/>
    <col min="2820" max="3058" width="9.140625" style="237"/>
    <col min="3059" max="3059" width="7" style="237" customWidth="1"/>
    <col min="3060" max="3060" width="54.42578125" style="237" customWidth="1"/>
    <col min="3061" max="3061" width="16.5703125" style="237" customWidth="1"/>
    <col min="3062" max="3062" width="15.140625" style="237" customWidth="1"/>
    <col min="3063" max="3063" width="16.42578125" style="237" customWidth="1"/>
    <col min="3064" max="3064" width="17" style="237" customWidth="1"/>
    <col min="3065" max="3065" width="16.42578125" style="237" customWidth="1"/>
    <col min="3066" max="3066" width="16.5703125" style="237" customWidth="1"/>
    <col min="3067" max="3068" width="18.28515625" style="237" customWidth="1"/>
    <col min="3069" max="3069" width="17.5703125" style="237" customWidth="1"/>
    <col min="3070" max="3070" width="16.140625" style="237" customWidth="1"/>
    <col min="3071" max="3071" width="19.28515625" style="237" customWidth="1"/>
    <col min="3072" max="3072" width="18.85546875" style="237" customWidth="1"/>
    <col min="3073" max="3073" width="17" style="237" customWidth="1"/>
    <col min="3074" max="3074" width="19.7109375" style="237" customWidth="1"/>
    <col min="3075" max="3075" width="19" style="237" customWidth="1"/>
    <col min="3076" max="3314" width="9.140625" style="237"/>
    <col min="3315" max="3315" width="7" style="237" customWidth="1"/>
    <col min="3316" max="3316" width="54.42578125" style="237" customWidth="1"/>
    <col min="3317" max="3317" width="16.5703125" style="237" customWidth="1"/>
    <col min="3318" max="3318" width="15.140625" style="237" customWidth="1"/>
    <col min="3319" max="3319" width="16.42578125" style="237" customWidth="1"/>
    <col min="3320" max="3320" width="17" style="237" customWidth="1"/>
    <col min="3321" max="3321" width="16.42578125" style="237" customWidth="1"/>
    <col min="3322" max="3322" width="16.5703125" style="237" customWidth="1"/>
    <col min="3323" max="3324" width="18.28515625" style="237" customWidth="1"/>
    <col min="3325" max="3325" width="17.5703125" style="237" customWidth="1"/>
    <col min="3326" max="3326" width="16.140625" style="237" customWidth="1"/>
    <col min="3327" max="3327" width="19.28515625" style="237" customWidth="1"/>
    <col min="3328" max="3328" width="18.85546875" style="237" customWidth="1"/>
    <col min="3329" max="3329" width="17" style="237" customWidth="1"/>
    <col min="3330" max="3330" width="19.7109375" style="237" customWidth="1"/>
    <col min="3331" max="3331" width="19" style="237" customWidth="1"/>
    <col min="3332" max="3570" width="9.140625" style="237"/>
    <col min="3571" max="3571" width="7" style="237" customWidth="1"/>
    <col min="3572" max="3572" width="54.42578125" style="237" customWidth="1"/>
    <col min="3573" max="3573" width="16.5703125" style="237" customWidth="1"/>
    <col min="3574" max="3574" width="15.140625" style="237" customWidth="1"/>
    <col min="3575" max="3575" width="16.42578125" style="237" customWidth="1"/>
    <col min="3576" max="3576" width="17" style="237" customWidth="1"/>
    <col min="3577" max="3577" width="16.42578125" style="237" customWidth="1"/>
    <col min="3578" max="3578" width="16.5703125" style="237" customWidth="1"/>
    <col min="3579" max="3580" width="18.28515625" style="237" customWidth="1"/>
    <col min="3581" max="3581" width="17.5703125" style="237" customWidth="1"/>
    <col min="3582" max="3582" width="16.140625" style="237" customWidth="1"/>
    <col min="3583" max="3583" width="19.28515625" style="237" customWidth="1"/>
    <col min="3584" max="3584" width="18.85546875" style="237" customWidth="1"/>
    <col min="3585" max="3585" width="17" style="237" customWidth="1"/>
    <col min="3586" max="3586" width="19.7109375" style="237" customWidth="1"/>
    <col min="3587" max="3587" width="19" style="237" customWidth="1"/>
    <col min="3588" max="3826" width="9.140625" style="237"/>
    <col min="3827" max="3827" width="7" style="237" customWidth="1"/>
    <col min="3828" max="3828" width="54.42578125" style="237" customWidth="1"/>
    <col min="3829" max="3829" width="16.5703125" style="237" customWidth="1"/>
    <col min="3830" max="3830" width="15.140625" style="237" customWidth="1"/>
    <col min="3831" max="3831" width="16.42578125" style="237" customWidth="1"/>
    <col min="3832" max="3832" width="17" style="237" customWidth="1"/>
    <col min="3833" max="3833" width="16.42578125" style="237" customWidth="1"/>
    <col min="3834" max="3834" width="16.5703125" style="237" customWidth="1"/>
    <col min="3835" max="3836" width="18.28515625" style="237" customWidth="1"/>
    <col min="3837" max="3837" width="17.5703125" style="237" customWidth="1"/>
    <col min="3838" max="3838" width="16.140625" style="237" customWidth="1"/>
    <col min="3839" max="3839" width="19.28515625" style="237" customWidth="1"/>
    <col min="3840" max="3840" width="18.85546875" style="237" customWidth="1"/>
    <col min="3841" max="3841" width="17" style="237" customWidth="1"/>
    <col min="3842" max="3842" width="19.7109375" style="237" customWidth="1"/>
    <col min="3843" max="3843" width="19" style="237" customWidth="1"/>
    <col min="3844" max="4082" width="9.140625" style="237"/>
    <col min="4083" max="4083" width="7" style="237" customWidth="1"/>
    <col min="4084" max="4084" width="54.42578125" style="237" customWidth="1"/>
    <col min="4085" max="4085" width="16.5703125" style="237" customWidth="1"/>
    <col min="4086" max="4086" width="15.140625" style="237" customWidth="1"/>
    <col min="4087" max="4087" width="16.42578125" style="237" customWidth="1"/>
    <col min="4088" max="4088" width="17" style="237" customWidth="1"/>
    <col min="4089" max="4089" width="16.42578125" style="237" customWidth="1"/>
    <col min="4090" max="4090" width="16.5703125" style="237" customWidth="1"/>
    <col min="4091" max="4092" width="18.28515625" style="237" customWidth="1"/>
    <col min="4093" max="4093" width="17.5703125" style="237" customWidth="1"/>
    <col min="4094" max="4094" width="16.140625" style="237" customWidth="1"/>
    <col min="4095" max="4095" width="19.28515625" style="237" customWidth="1"/>
    <col min="4096" max="4096" width="18.85546875" style="237" customWidth="1"/>
    <col min="4097" max="4097" width="17" style="237" customWidth="1"/>
    <col min="4098" max="4098" width="19.7109375" style="237" customWidth="1"/>
    <col min="4099" max="4099" width="19" style="237" customWidth="1"/>
    <col min="4100" max="4338" width="9.140625" style="237"/>
    <col min="4339" max="4339" width="7" style="237" customWidth="1"/>
    <col min="4340" max="4340" width="54.42578125" style="237" customWidth="1"/>
    <col min="4341" max="4341" width="16.5703125" style="237" customWidth="1"/>
    <col min="4342" max="4342" width="15.140625" style="237" customWidth="1"/>
    <col min="4343" max="4343" width="16.42578125" style="237" customWidth="1"/>
    <col min="4344" max="4344" width="17" style="237" customWidth="1"/>
    <col min="4345" max="4345" width="16.42578125" style="237" customWidth="1"/>
    <col min="4346" max="4346" width="16.5703125" style="237" customWidth="1"/>
    <col min="4347" max="4348" width="18.28515625" style="237" customWidth="1"/>
    <col min="4349" max="4349" width="17.5703125" style="237" customWidth="1"/>
    <col min="4350" max="4350" width="16.140625" style="237" customWidth="1"/>
    <col min="4351" max="4351" width="19.28515625" style="237" customWidth="1"/>
    <col min="4352" max="4352" width="18.85546875" style="237" customWidth="1"/>
    <col min="4353" max="4353" width="17" style="237" customWidth="1"/>
    <col min="4354" max="4354" width="19.7109375" style="237" customWidth="1"/>
    <col min="4355" max="4355" width="19" style="237" customWidth="1"/>
    <col min="4356" max="4594" width="9.140625" style="237"/>
    <col min="4595" max="4595" width="7" style="237" customWidth="1"/>
    <col min="4596" max="4596" width="54.42578125" style="237" customWidth="1"/>
    <col min="4597" max="4597" width="16.5703125" style="237" customWidth="1"/>
    <col min="4598" max="4598" width="15.140625" style="237" customWidth="1"/>
    <col min="4599" max="4599" width="16.42578125" style="237" customWidth="1"/>
    <col min="4600" max="4600" width="17" style="237" customWidth="1"/>
    <col min="4601" max="4601" width="16.42578125" style="237" customWidth="1"/>
    <col min="4602" max="4602" width="16.5703125" style="237" customWidth="1"/>
    <col min="4603" max="4604" width="18.28515625" style="237" customWidth="1"/>
    <col min="4605" max="4605" width="17.5703125" style="237" customWidth="1"/>
    <col min="4606" max="4606" width="16.140625" style="237" customWidth="1"/>
    <col min="4607" max="4607" width="19.28515625" style="237" customWidth="1"/>
    <col min="4608" max="4608" width="18.85546875" style="237" customWidth="1"/>
    <col min="4609" max="4609" width="17" style="237" customWidth="1"/>
    <col min="4610" max="4610" width="19.7109375" style="237" customWidth="1"/>
    <col min="4611" max="4611" width="19" style="237" customWidth="1"/>
    <col min="4612" max="4850" width="9.140625" style="237"/>
    <col min="4851" max="4851" width="7" style="237" customWidth="1"/>
    <col min="4852" max="4852" width="54.42578125" style="237" customWidth="1"/>
    <col min="4853" max="4853" width="16.5703125" style="237" customWidth="1"/>
    <col min="4854" max="4854" width="15.140625" style="237" customWidth="1"/>
    <col min="4855" max="4855" width="16.42578125" style="237" customWidth="1"/>
    <col min="4856" max="4856" width="17" style="237" customWidth="1"/>
    <col min="4857" max="4857" width="16.42578125" style="237" customWidth="1"/>
    <col min="4858" max="4858" width="16.5703125" style="237" customWidth="1"/>
    <col min="4859" max="4860" width="18.28515625" style="237" customWidth="1"/>
    <col min="4861" max="4861" width="17.5703125" style="237" customWidth="1"/>
    <col min="4862" max="4862" width="16.140625" style="237" customWidth="1"/>
    <col min="4863" max="4863" width="19.28515625" style="237" customWidth="1"/>
    <col min="4864" max="4864" width="18.85546875" style="237" customWidth="1"/>
    <col min="4865" max="4865" width="17" style="237" customWidth="1"/>
    <col min="4866" max="4866" width="19.7109375" style="237" customWidth="1"/>
    <col min="4867" max="4867" width="19" style="237" customWidth="1"/>
    <col min="4868" max="5106" width="9.140625" style="237"/>
    <col min="5107" max="5107" width="7" style="237" customWidth="1"/>
    <col min="5108" max="5108" width="54.42578125" style="237" customWidth="1"/>
    <col min="5109" max="5109" width="16.5703125" style="237" customWidth="1"/>
    <col min="5110" max="5110" width="15.140625" style="237" customWidth="1"/>
    <col min="5111" max="5111" width="16.42578125" style="237" customWidth="1"/>
    <col min="5112" max="5112" width="17" style="237" customWidth="1"/>
    <col min="5113" max="5113" width="16.42578125" style="237" customWidth="1"/>
    <col min="5114" max="5114" width="16.5703125" style="237" customWidth="1"/>
    <col min="5115" max="5116" width="18.28515625" style="237" customWidth="1"/>
    <col min="5117" max="5117" width="17.5703125" style="237" customWidth="1"/>
    <col min="5118" max="5118" width="16.140625" style="237" customWidth="1"/>
    <col min="5119" max="5119" width="19.28515625" style="237" customWidth="1"/>
    <col min="5120" max="5120" width="18.85546875" style="237" customWidth="1"/>
    <col min="5121" max="5121" width="17" style="237" customWidth="1"/>
    <col min="5122" max="5122" width="19.7109375" style="237" customWidth="1"/>
    <col min="5123" max="5123" width="19" style="237" customWidth="1"/>
    <col min="5124" max="5362" width="9.140625" style="237"/>
    <col min="5363" max="5363" width="7" style="237" customWidth="1"/>
    <col min="5364" max="5364" width="54.42578125" style="237" customWidth="1"/>
    <col min="5365" max="5365" width="16.5703125" style="237" customWidth="1"/>
    <col min="5366" max="5366" width="15.140625" style="237" customWidth="1"/>
    <col min="5367" max="5367" width="16.42578125" style="237" customWidth="1"/>
    <col min="5368" max="5368" width="17" style="237" customWidth="1"/>
    <col min="5369" max="5369" width="16.42578125" style="237" customWidth="1"/>
    <col min="5370" max="5370" width="16.5703125" style="237" customWidth="1"/>
    <col min="5371" max="5372" width="18.28515625" style="237" customWidth="1"/>
    <col min="5373" max="5373" width="17.5703125" style="237" customWidth="1"/>
    <col min="5374" max="5374" width="16.140625" style="237" customWidth="1"/>
    <col min="5375" max="5375" width="19.28515625" style="237" customWidth="1"/>
    <col min="5376" max="5376" width="18.85546875" style="237" customWidth="1"/>
    <col min="5377" max="5377" width="17" style="237" customWidth="1"/>
    <col min="5378" max="5378" width="19.7109375" style="237" customWidth="1"/>
    <col min="5379" max="5379" width="19" style="237" customWidth="1"/>
    <col min="5380" max="5618" width="9.140625" style="237"/>
    <col min="5619" max="5619" width="7" style="237" customWidth="1"/>
    <col min="5620" max="5620" width="54.42578125" style="237" customWidth="1"/>
    <col min="5621" max="5621" width="16.5703125" style="237" customWidth="1"/>
    <col min="5622" max="5622" width="15.140625" style="237" customWidth="1"/>
    <col min="5623" max="5623" width="16.42578125" style="237" customWidth="1"/>
    <col min="5624" max="5624" width="17" style="237" customWidth="1"/>
    <col min="5625" max="5625" width="16.42578125" style="237" customWidth="1"/>
    <col min="5626" max="5626" width="16.5703125" style="237" customWidth="1"/>
    <col min="5627" max="5628" width="18.28515625" style="237" customWidth="1"/>
    <col min="5629" max="5629" width="17.5703125" style="237" customWidth="1"/>
    <col min="5630" max="5630" width="16.140625" style="237" customWidth="1"/>
    <col min="5631" max="5631" width="19.28515625" style="237" customWidth="1"/>
    <col min="5632" max="5632" width="18.85546875" style="237" customWidth="1"/>
    <col min="5633" max="5633" width="17" style="237" customWidth="1"/>
    <col min="5634" max="5634" width="19.7109375" style="237" customWidth="1"/>
    <col min="5635" max="5635" width="19" style="237" customWidth="1"/>
    <col min="5636" max="5874" width="9.140625" style="237"/>
    <col min="5875" max="5875" width="7" style="237" customWidth="1"/>
    <col min="5876" max="5876" width="54.42578125" style="237" customWidth="1"/>
    <col min="5877" max="5877" width="16.5703125" style="237" customWidth="1"/>
    <col min="5878" max="5878" width="15.140625" style="237" customWidth="1"/>
    <col min="5879" max="5879" width="16.42578125" style="237" customWidth="1"/>
    <col min="5880" max="5880" width="17" style="237" customWidth="1"/>
    <col min="5881" max="5881" width="16.42578125" style="237" customWidth="1"/>
    <col min="5882" max="5882" width="16.5703125" style="237" customWidth="1"/>
    <col min="5883" max="5884" width="18.28515625" style="237" customWidth="1"/>
    <col min="5885" max="5885" width="17.5703125" style="237" customWidth="1"/>
    <col min="5886" max="5886" width="16.140625" style="237" customWidth="1"/>
    <col min="5887" max="5887" width="19.28515625" style="237" customWidth="1"/>
    <col min="5888" max="5888" width="18.85546875" style="237" customWidth="1"/>
    <col min="5889" max="5889" width="17" style="237" customWidth="1"/>
    <col min="5890" max="5890" width="19.7109375" style="237" customWidth="1"/>
    <col min="5891" max="5891" width="19" style="237" customWidth="1"/>
    <col min="5892" max="6130" width="9.140625" style="237"/>
    <col min="6131" max="6131" width="7" style="237" customWidth="1"/>
    <col min="6132" max="6132" width="54.42578125" style="237" customWidth="1"/>
    <col min="6133" max="6133" width="16.5703125" style="237" customWidth="1"/>
    <col min="6134" max="6134" width="15.140625" style="237" customWidth="1"/>
    <col min="6135" max="6135" width="16.42578125" style="237" customWidth="1"/>
    <col min="6136" max="6136" width="17" style="237" customWidth="1"/>
    <col min="6137" max="6137" width="16.42578125" style="237" customWidth="1"/>
    <col min="6138" max="6138" width="16.5703125" style="237" customWidth="1"/>
    <col min="6139" max="6140" width="18.28515625" style="237" customWidth="1"/>
    <col min="6141" max="6141" width="17.5703125" style="237" customWidth="1"/>
    <col min="6142" max="6142" width="16.140625" style="237" customWidth="1"/>
    <col min="6143" max="6143" width="19.28515625" style="237" customWidth="1"/>
    <col min="6144" max="6144" width="18.85546875" style="237" customWidth="1"/>
    <col min="6145" max="6145" width="17" style="237" customWidth="1"/>
    <col min="6146" max="6146" width="19.7109375" style="237" customWidth="1"/>
    <col min="6147" max="6147" width="19" style="237" customWidth="1"/>
    <col min="6148" max="6386" width="9.140625" style="237"/>
    <col min="6387" max="6387" width="7" style="237" customWidth="1"/>
    <col min="6388" max="6388" width="54.42578125" style="237" customWidth="1"/>
    <col min="6389" max="6389" width="16.5703125" style="237" customWidth="1"/>
    <col min="6390" max="6390" width="15.140625" style="237" customWidth="1"/>
    <col min="6391" max="6391" width="16.42578125" style="237" customWidth="1"/>
    <col min="6392" max="6392" width="17" style="237" customWidth="1"/>
    <col min="6393" max="6393" width="16.42578125" style="237" customWidth="1"/>
    <col min="6394" max="6394" width="16.5703125" style="237" customWidth="1"/>
    <col min="6395" max="6396" width="18.28515625" style="237" customWidth="1"/>
    <col min="6397" max="6397" width="17.5703125" style="237" customWidth="1"/>
    <col min="6398" max="6398" width="16.140625" style="237" customWidth="1"/>
    <col min="6399" max="6399" width="19.28515625" style="237" customWidth="1"/>
    <col min="6400" max="6400" width="18.85546875" style="237" customWidth="1"/>
    <col min="6401" max="6401" width="17" style="237" customWidth="1"/>
    <col min="6402" max="6402" width="19.7109375" style="237" customWidth="1"/>
    <col min="6403" max="6403" width="19" style="237" customWidth="1"/>
    <col min="6404" max="6642" width="9.140625" style="237"/>
    <col min="6643" max="6643" width="7" style="237" customWidth="1"/>
    <col min="6644" max="6644" width="54.42578125" style="237" customWidth="1"/>
    <col min="6645" max="6645" width="16.5703125" style="237" customWidth="1"/>
    <col min="6646" max="6646" width="15.140625" style="237" customWidth="1"/>
    <col min="6647" max="6647" width="16.42578125" style="237" customWidth="1"/>
    <col min="6648" max="6648" width="17" style="237" customWidth="1"/>
    <col min="6649" max="6649" width="16.42578125" style="237" customWidth="1"/>
    <col min="6650" max="6650" width="16.5703125" style="237" customWidth="1"/>
    <col min="6651" max="6652" width="18.28515625" style="237" customWidth="1"/>
    <col min="6653" max="6653" width="17.5703125" style="237" customWidth="1"/>
    <col min="6654" max="6654" width="16.140625" style="237" customWidth="1"/>
    <col min="6655" max="6655" width="19.28515625" style="237" customWidth="1"/>
    <col min="6656" max="6656" width="18.85546875" style="237" customWidth="1"/>
    <col min="6657" max="6657" width="17" style="237" customWidth="1"/>
    <col min="6658" max="6658" width="19.7109375" style="237" customWidth="1"/>
    <col min="6659" max="6659" width="19" style="237" customWidth="1"/>
    <col min="6660" max="6898" width="9.140625" style="237"/>
    <col min="6899" max="6899" width="7" style="237" customWidth="1"/>
    <col min="6900" max="6900" width="54.42578125" style="237" customWidth="1"/>
    <col min="6901" max="6901" width="16.5703125" style="237" customWidth="1"/>
    <col min="6902" max="6902" width="15.140625" style="237" customWidth="1"/>
    <col min="6903" max="6903" width="16.42578125" style="237" customWidth="1"/>
    <col min="6904" max="6904" width="17" style="237" customWidth="1"/>
    <col min="6905" max="6905" width="16.42578125" style="237" customWidth="1"/>
    <col min="6906" max="6906" width="16.5703125" style="237" customWidth="1"/>
    <col min="6907" max="6908" width="18.28515625" style="237" customWidth="1"/>
    <col min="6909" max="6909" width="17.5703125" style="237" customWidth="1"/>
    <col min="6910" max="6910" width="16.140625" style="237" customWidth="1"/>
    <col min="6911" max="6911" width="19.28515625" style="237" customWidth="1"/>
    <col min="6912" max="6912" width="18.85546875" style="237" customWidth="1"/>
    <col min="6913" max="6913" width="17" style="237" customWidth="1"/>
    <col min="6914" max="6914" width="19.7109375" style="237" customWidth="1"/>
    <col min="6915" max="6915" width="19" style="237" customWidth="1"/>
    <col min="6916" max="7154" width="9.140625" style="237"/>
    <col min="7155" max="7155" width="7" style="237" customWidth="1"/>
    <col min="7156" max="7156" width="54.42578125" style="237" customWidth="1"/>
    <col min="7157" max="7157" width="16.5703125" style="237" customWidth="1"/>
    <col min="7158" max="7158" width="15.140625" style="237" customWidth="1"/>
    <col min="7159" max="7159" width="16.42578125" style="237" customWidth="1"/>
    <col min="7160" max="7160" width="17" style="237" customWidth="1"/>
    <col min="7161" max="7161" width="16.42578125" style="237" customWidth="1"/>
    <col min="7162" max="7162" width="16.5703125" style="237" customWidth="1"/>
    <col min="7163" max="7164" width="18.28515625" style="237" customWidth="1"/>
    <col min="7165" max="7165" width="17.5703125" style="237" customWidth="1"/>
    <col min="7166" max="7166" width="16.140625" style="237" customWidth="1"/>
    <col min="7167" max="7167" width="19.28515625" style="237" customWidth="1"/>
    <col min="7168" max="7168" width="18.85546875" style="237" customWidth="1"/>
    <col min="7169" max="7169" width="17" style="237" customWidth="1"/>
    <col min="7170" max="7170" width="19.7109375" style="237" customWidth="1"/>
    <col min="7171" max="7171" width="19" style="237" customWidth="1"/>
    <col min="7172" max="7410" width="9.140625" style="237"/>
    <col min="7411" max="7411" width="7" style="237" customWidth="1"/>
    <col min="7412" max="7412" width="54.42578125" style="237" customWidth="1"/>
    <col min="7413" max="7413" width="16.5703125" style="237" customWidth="1"/>
    <col min="7414" max="7414" width="15.140625" style="237" customWidth="1"/>
    <col min="7415" max="7415" width="16.42578125" style="237" customWidth="1"/>
    <col min="7416" max="7416" width="17" style="237" customWidth="1"/>
    <col min="7417" max="7417" width="16.42578125" style="237" customWidth="1"/>
    <col min="7418" max="7418" width="16.5703125" style="237" customWidth="1"/>
    <col min="7419" max="7420" width="18.28515625" style="237" customWidth="1"/>
    <col min="7421" max="7421" width="17.5703125" style="237" customWidth="1"/>
    <col min="7422" max="7422" width="16.140625" style="237" customWidth="1"/>
    <col min="7423" max="7423" width="19.28515625" style="237" customWidth="1"/>
    <col min="7424" max="7424" width="18.85546875" style="237" customWidth="1"/>
    <col min="7425" max="7425" width="17" style="237" customWidth="1"/>
    <col min="7426" max="7426" width="19.7109375" style="237" customWidth="1"/>
    <col min="7427" max="7427" width="19" style="237" customWidth="1"/>
    <col min="7428" max="7666" width="9.140625" style="237"/>
    <col min="7667" max="7667" width="7" style="237" customWidth="1"/>
    <col min="7668" max="7668" width="54.42578125" style="237" customWidth="1"/>
    <col min="7669" max="7669" width="16.5703125" style="237" customWidth="1"/>
    <col min="7670" max="7670" width="15.140625" style="237" customWidth="1"/>
    <col min="7671" max="7671" width="16.42578125" style="237" customWidth="1"/>
    <col min="7672" max="7672" width="17" style="237" customWidth="1"/>
    <col min="7673" max="7673" width="16.42578125" style="237" customWidth="1"/>
    <col min="7674" max="7674" width="16.5703125" style="237" customWidth="1"/>
    <col min="7675" max="7676" width="18.28515625" style="237" customWidth="1"/>
    <col min="7677" max="7677" width="17.5703125" style="237" customWidth="1"/>
    <col min="7678" max="7678" width="16.140625" style="237" customWidth="1"/>
    <col min="7679" max="7679" width="19.28515625" style="237" customWidth="1"/>
    <col min="7680" max="7680" width="18.85546875" style="237" customWidth="1"/>
    <col min="7681" max="7681" width="17" style="237" customWidth="1"/>
    <col min="7682" max="7682" width="19.7109375" style="237" customWidth="1"/>
    <col min="7683" max="7683" width="19" style="237" customWidth="1"/>
    <col min="7684" max="7922" width="9.140625" style="237"/>
    <col min="7923" max="7923" width="7" style="237" customWidth="1"/>
    <col min="7924" max="7924" width="54.42578125" style="237" customWidth="1"/>
    <col min="7925" max="7925" width="16.5703125" style="237" customWidth="1"/>
    <col min="7926" max="7926" width="15.140625" style="237" customWidth="1"/>
    <col min="7927" max="7927" width="16.42578125" style="237" customWidth="1"/>
    <col min="7928" max="7928" width="17" style="237" customWidth="1"/>
    <col min="7929" max="7929" width="16.42578125" style="237" customWidth="1"/>
    <col min="7930" max="7930" width="16.5703125" style="237" customWidth="1"/>
    <col min="7931" max="7932" width="18.28515625" style="237" customWidth="1"/>
    <col min="7933" max="7933" width="17.5703125" style="237" customWidth="1"/>
    <col min="7934" max="7934" width="16.140625" style="237" customWidth="1"/>
    <col min="7935" max="7935" width="19.28515625" style="237" customWidth="1"/>
    <col min="7936" max="7936" width="18.85546875" style="237" customWidth="1"/>
    <col min="7937" max="7937" width="17" style="237" customWidth="1"/>
    <col min="7938" max="7938" width="19.7109375" style="237" customWidth="1"/>
    <col min="7939" max="7939" width="19" style="237" customWidth="1"/>
    <col min="7940" max="8178" width="9.140625" style="237"/>
    <col min="8179" max="8179" width="7" style="237" customWidth="1"/>
    <col min="8180" max="8180" width="54.42578125" style="237" customWidth="1"/>
    <col min="8181" max="8181" width="16.5703125" style="237" customWidth="1"/>
    <col min="8182" max="8182" width="15.140625" style="237" customWidth="1"/>
    <col min="8183" max="8183" width="16.42578125" style="237" customWidth="1"/>
    <col min="8184" max="8184" width="17" style="237" customWidth="1"/>
    <col min="8185" max="8185" width="16.42578125" style="237" customWidth="1"/>
    <col min="8186" max="8186" width="16.5703125" style="237" customWidth="1"/>
    <col min="8187" max="8188" width="18.28515625" style="237" customWidth="1"/>
    <col min="8189" max="8189" width="17.5703125" style="237" customWidth="1"/>
    <col min="8190" max="8190" width="16.140625" style="237" customWidth="1"/>
    <col min="8191" max="8191" width="19.28515625" style="237" customWidth="1"/>
    <col min="8192" max="8192" width="18.85546875" style="237" customWidth="1"/>
    <col min="8193" max="8193" width="17" style="237" customWidth="1"/>
    <col min="8194" max="8194" width="19.7109375" style="237" customWidth="1"/>
    <col min="8195" max="8195" width="19" style="237" customWidth="1"/>
    <col min="8196" max="8434" width="9.140625" style="237"/>
    <col min="8435" max="8435" width="7" style="237" customWidth="1"/>
    <col min="8436" max="8436" width="54.42578125" style="237" customWidth="1"/>
    <col min="8437" max="8437" width="16.5703125" style="237" customWidth="1"/>
    <col min="8438" max="8438" width="15.140625" style="237" customWidth="1"/>
    <col min="8439" max="8439" width="16.42578125" style="237" customWidth="1"/>
    <col min="8440" max="8440" width="17" style="237" customWidth="1"/>
    <col min="8441" max="8441" width="16.42578125" style="237" customWidth="1"/>
    <col min="8442" max="8442" width="16.5703125" style="237" customWidth="1"/>
    <col min="8443" max="8444" width="18.28515625" style="237" customWidth="1"/>
    <col min="8445" max="8445" width="17.5703125" style="237" customWidth="1"/>
    <col min="8446" max="8446" width="16.140625" style="237" customWidth="1"/>
    <col min="8447" max="8447" width="19.28515625" style="237" customWidth="1"/>
    <col min="8448" max="8448" width="18.85546875" style="237" customWidth="1"/>
    <col min="8449" max="8449" width="17" style="237" customWidth="1"/>
    <col min="8450" max="8450" width="19.7109375" style="237" customWidth="1"/>
    <col min="8451" max="8451" width="19" style="237" customWidth="1"/>
    <col min="8452" max="8690" width="9.140625" style="237"/>
    <col min="8691" max="8691" width="7" style="237" customWidth="1"/>
    <col min="8692" max="8692" width="54.42578125" style="237" customWidth="1"/>
    <col min="8693" max="8693" width="16.5703125" style="237" customWidth="1"/>
    <col min="8694" max="8694" width="15.140625" style="237" customWidth="1"/>
    <col min="8695" max="8695" width="16.42578125" style="237" customWidth="1"/>
    <col min="8696" max="8696" width="17" style="237" customWidth="1"/>
    <col min="8697" max="8697" width="16.42578125" style="237" customWidth="1"/>
    <col min="8698" max="8698" width="16.5703125" style="237" customWidth="1"/>
    <col min="8699" max="8700" width="18.28515625" style="237" customWidth="1"/>
    <col min="8701" max="8701" width="17.5703125" style="237" customWidth="1"/>
    <col min="8702" max="8702" width="16.140625" style="237" customWidth="1"/>
    <col min="8703" max="8703" width="19.28515625" style="237" customWidth="1"/>
    <col min="8704" max="8704" width="18.85546875" style="237" customWidth="1"/>
    <col min="8705" max="8705" width="17" style="237" customWidth="1"/>
    <col min="8706" max="8706" width="19.7109375" style="237" customWidth="1"/>
    <col min="8707" max="8707" width="19" style="237" customWidth="1"/>
    <col min="8708" max="8946" width="9.140625" style="237"/>
    <col min="8947" max="8947" width="7" style="237" customWidth="1"/>
    <col min="8948" max="8948" width="54.42578125" style="237" customWidth="1"/>
    <col min="8949" max="8949" width="16.5703125" style="237" customWidth="1"/>
    <col min="8950" max="8950" width="15.140625" style="237" customWidth="1"/>
    <col min="8951" max="8951" width="16.42578125" style="237" customWidth="1"/>
    <col min="8952" max="8952" width="17" style="237" customWidth="1"/>
    <col min="8953" max="8953" width="16.42578125" style="237" customWidth="1"/>
    <col min="8954" max="8954" width="16.5703125" style="237" customWidth="1"/>
    <col min="8955" max="8956" width="18.28515625" style="237" customWidth="1"/>
    <col min="8957" max="8957" width="17.5703125" style="237" customWidth="1"/>
    <col min="8958" max="8958" width="16.140625" style="237" customWidth="1"/>
    <col min="8959" max="8959" width="19.28515625" style="237" customWidth="1"/>
    <col min="8960" max="8960" width="18.85546875" style="237" customWidth="1"/>
    <col min="8961" max="8961" width="17" style="237" customWidth="1"/>
    <col min="8962" max="8962" width="19.7109375" style="237" customWidth="1"/>
    <col min="8963" max="8963" width="19" style="237" customWidth="1"/>
    <col min="8964" max="9202" width="9.140625" style="237"/>
    <col min="9203" max="9203" width="7" style="237" customWidth="1"/>
    <col min="9204" max="9204" width="54.42578125" style="237" customWidth="1"/>
    <col min="9205" max="9205" width="16.5703125" style="237" customWidth="1"/>
    <col min="9206" max="9206" width="15.140625" style="237" customWidth="1"/>
    <col min="9207" max="9207" width="16.42578125" style="237" customWidth="1"/>
    <col min="9208" max="9208" width="17" style="237" customWidth="1"/>
    <col min="9209" max="9209" width="16.42578125" style="237" customWidth="1"/>
    <col min="9210" max="9210" width="16.5703125" style="237" customWidth="1"/>
    <col min="9211" max="9212" width="18.28515625" style="237" customWidth="1"/>
    <col min="9213" max="9213" width="17.5703125" style="237" customWidth="1"/>
    <col min="9214" max="9214" width="16.140625" style="237" customWidth="1"/>
    <col min="9215" max="9215" width="19.28515625" style="237" customWidth="1"/>
    <col min="9216" max="9216" width="18.85546875" style="237" customWidth="1"/>
    <col min="9217" max="9217" width="17" style="237" customWidth="1"/>
    <col min="9218" max="9218" width="19.7109375" style="237" customWidth="1"/>
    <col min="9219" max="9219" width="19" style="237" customWidth="1"/>
    <col min="9220" max="9458" width="9.140625" style="237"/>
    <col min="9459" max="9459" width="7" style="237" customWidth="1"/>
    <col min="9460" max="9460" width="54.42578125" style="237" customWidth="1"/>
    <col min="9461" max="9461" width="16.5703125" style="237" customWidth="1"/>
    <col min="9462" max="9462" width="15.140625" style="237" customWidth="1"/>
    <col min="9463" max="9463" width="16.42578125" style="237" customWidth="1"/>
    <col min="9464" max="9464" width="17" style="237" customWidth="1"/>
    <col min="9465" max="9465" width="16.42578125" style="237" customWidth="1"/>
    <col min="9466" max="9466" width="16.5703125" style="237" customWidth="1"/>
    <col min="9467" max="9468" width="18.28515625" style="237" customWidth="1"/>
    <col min="9469" max="9469" width="17.5703125" style="237" customWidth="1"/>
    <col min="9470" max="9470" width="16.140625" style="237" customWidth="1"/>
    <col min="9471" max="9471" width="19.28515625" style="237" customWidth="1"/>
    <col min="9472" max="9472" width="18.85546875" style="237" customWidth="1"/>
    <col min="9473" max="9473" width="17" style="237" customWidth="1"/>
    <col min="9474" max="9474" width="19.7109375" style="237" customWidth="1"/>
    <col min="9475" max="9475" width="19" style="237" customWidth="1"/>
    <col min="9476" max="9714" width="9.140625" style="237"/>
    <col min="9715" max="9715" width="7" style="237" customWidth="1"/>
    <col min="9716" max="9716" width="54.42578125" style="237" customWidth="1"/>
    <col min="9717" max="9717" width="16.5703125" style="237" customWidth="1"/>
    <col min="9718" max="9718" width="15.140625" style="237" customWidth="1"/>
    <col min="9719" max="9719" width="16.42578125" style="237" customWidth="1"/>
    <col min="9720" max="9720" width="17" style="237" customWidth="1"/>
    <col min="9721" max="9721" width="16.42578125" style="237" customWidth="1"/>
    <col min="9722" max="9722" width="16.5703125" style="237" customWidth="1"/>
    <col min="9723" max="9724" width="18.28515625" style="237" customWidth="1"/>
    <col min="9725" max="9725" width="17.5703125" style="237" customWidth="1"/>
    <col min="9726" max="9726" width="16.140625" style="237" customWidth="1"/>
    <col min="9727" max="9727" width="19.28515625" style="237" customWidth="1"/>
    <col min="9728" max="9728" width="18.85546875" style="237" customWidth="1"/>
    <col min="9729" max="9729" width="17" style="237" customWidth="1"/>
    <col min="9730" max="9730" width="19.7109375" style="237" customWidth="1"/>
    <col min="9731" max="9731" width="19" style="237" customWidth="1"/>
    <col min="9732" max="9970" width="9.140625" style="237"/>
    <col min="9971" max="9971" width="7" style="237" customWidth="1"/>
    <col min="9972" max="9972" width="54.42578125" style="237" customWidth="1"/>
    <col min="9973" max="9973" width="16.5703125" style="237" customWidth="1"/>
    <col min="9974" max="9974" width="15.140625" style="237" customWidth="1"/>
    <col min="9975" max="9975" width="16.42578125" style="237" customWidth="1"/>
    <col min="9976" max="9976" width="17" style="237" customWidth="1"/>
    <col min="9977" max="9977" width="16.42578125" style="237" customWidth="1"/>
    <col min="9978" max="9978" width="16.5703125" style="237" customWidth="1"/>
    <col min="9979" max="9980" width="18.28515625" style="237" customWidth="1"/>
    <col min="9981" max="9981" width="17.5703125" style="237" customWidth="1"/>
    <col min="9982" max="9982" width="16.140625" style="237" customWidth="1"/>
    <col min="9983" max="9983" width="19.28515625" style="237" customWidth="1"/>
    <col min="9984" max="9984" width="18.85546875" style="237" customWidth="1"/>
    <col min="9985" max="9985" width="17" style="237" customWidth="1"/>
    <col min="9986" max="9986" width="19.7109375" style="237" customWidth="1"/>
    <col min="9987" max="9987" width="19" style="237" customWidth="1"/>
    <col min="9988" max="10226" width="9.140625" style="237"/>
    <col min="10227" max="10227" width="7" style="237" customWidth="1"/>
    <col min="10228" max="10228" width="54.42578125" style="237" customWidth="1"/>
    <col min="10229" max="10229" width="16.5703125" style="237" customWidth="1"/>
    <col min="10230" max="10230" width="15.140625" style="237" customWidth="1"/>
    <col min="10231" max="10231" width="16.42578125" style="237" customWidth="1"/>
    <col min="10232" max="10232" width="17" style="237" customWidth="1"/>
    <col min="10233" max="10233" width="16.42578125" style="237" customWidth="1"/>
    <col min="10234" max="10234" width="16.5703125" style="237" customWidth="1"/>
    <col min="10235" max="10236" width="18.28515625" style="237" customWidth="1"/>
    <col min="10237" max="10237" width="17.5703125" style="237" customWidth="1"/>
    <col min="10238" max="10238" width="16.140625" style="237" customWidth="1"/>
    <col min="10239" max="10239" width="19.28515625" style="237" customWidth="1"/>
    <col min="10240" max="10240" width="18.85546875" style="237" customWidth="1"/>
    <col min="10241" max="10241" width="17" style="237" customWidth="1"/>
    <col min="10242" max="10242" width="19.7109375" style="237" customWidth="1"/>
    <col min="10243" max="10243" width="19" style="237" customWidth="1"/>
    <col min="10244" max="10482" width="9.140625" style="237"/>
    <col min="10483" max="10483" width="7" style="237" customWidth="1"/>
    <col min="10484" max="10484" width="54.42578125" style="237" customWidth="1"/>
    <col min="10485" max="10485" width="16.5703125" style="237" customWidth="1"/>
    <col min="10486" max="10486" width="15.140625" style="237" customWidth="1"/>
    <col min="10487" max="10487" width="16.42578125" style="237" customWidth="1"/>
    <col min="10488" max="10488" width="17" style="237" customWidth="1"/>
    <col min="10489" max="10489" width="16.42578125" style="237" customWidth="1"/>
    <col min="10490" max="10490" width="16.5703125" style="237" customWidth="1"/>
    <col min="10491" max="10492" width="18.28515625" style="237" customWidth="1"/>
    <col min="10493" max="10493" width="17.5703125" style="237" customWidth="1"/>
    <col min="10494" max="10494" width="16.140625" style="237" customWidth="1"/>
    <col min="10495" max="10495" width="19.28515625" style="237" customWidth="1"/>
    <col min="10496" max="10496" width="18.85546875" style="237" customWidth="1"/>
    <col min="10497" max="10497" width="17" style="237" customWidth="1"/>
    <col min="10498" max="10498" width="19.7109375" style="237" customWidth="1"/>
    <col min="10499" max="10499" width="19" style="237" customWidth="1"/>
    <col min="10500" max="10738" width="9.140625" style="237"/>
    <col min="10739" max="10739" width="7" style="237" customWidth="1"/>
    <col min="10740" max="10740" width="54.42578125" style="237" customWidth="1"/>
    <col min="10741" max="10741" width="16.5703125" style="237" customWidth="1"/>
    <col min="10742" max="10742" width="15.140625" style="237" customWidth="1"/>
    <col min="10743" max="10743" width="16.42578125" style="237" customWidth="1"/>
    <col min="10744" max="10744" width="17" style="237" customWidth="1"/>
    <col min="10745" max="10745" width="16.42578125" style="237" customWidth="1"/>
    <col min="10746" max="10746" width="16.5703125" style="237" customWidth="1"/>
    <col min="10747" max="10748" width="18.28515625" style="237" customWidth="1"/>
    <col min="10749" max="10749" width="17.5703125" style="237" customWidth="1"/>
    <col min="10750" max="10750" width="16.140625" style="237" customWidth="1"/>
    <col min="10751" max="10751" width="19.28515625" style="237" customWidth="1"/>
    <col min="10752" max="10752" width="18.85546875" style="237" customWidth="1"/>
    <col min="10753" max="10753" width="17" style="237" customWidth="1"/>
    <col min="10754" max="10754" width="19.7109375" style="237" customWidth="1"/>
    <col min="10755" max="10755" width="19" style="237" customWidth="1"/>
    <col min="10756" max="10994" width="9.140625" style="237"/>
    <col min="10995" max="10995" width="7" style="237" customWidth="1"/>
    <col min="10996" max="10996" width="54.42578125" style="237" customWidth="1"/>
    <col min="10997" max="10997" width="16.5703125" style="237" customWidth="1"/>
    <col min="10998" max="10998" width="15.140625" style="237" customWidth="1"/>
    <col min="10999" max="10999" width="16.42578125" style="237" customWidth="1"/>
    <col min="11000" max="11000" width="17" style="237" customWidth="1"/>
    <col min="11001" max="11001" width="16.42578125" style="237" customWidth="1"/>
    <col min="11002" max="11002" width="16.5703125" style="237" customWidth="1"/>
    <col min="11003" max="11004" width="18.28515625" style="237" customWidth="1"/>
    <col min="11005" max="11005" width="17.5703125" style="237" customWidth="1"/>
    <col min="11006" max="11006" width="16.140625" style="237" customWidth="1"/>
    <col min="11007" max="11007" width="19.28515625" style="237" customWidth="1"/>
    <col min="11008" max="11008" width="18.85546875" style="237" customWidth="1"/>
    <col min="11009" max="11009" width="17" style="237" customWidth="1"/>
    <col min="11010" max="11010" width="19.7109375" style="237" customWidth="1"/>
    <col min="11011" max="11011" width="19" style="237" customWidth="1"/>
    <col min="11012" max="11250" width="9.140625" style="237"/>
    <col min="11251" max="11251" width="7" style="237" customWidth="1"/>
    <col min="11252" max="11252" width="54.42578125" style="237" customWidth="1"/>
    <col min="11253" max="11253" width="16.5703125" style="237" customWidth="1"/>
    <col min="11254" max="11254" width="15.140625" style="237" customWidth="1"/>
    <col min="11255" max="11255" width="16.42578125" style="237" customWidth="1"/>
    <col min="11256" max="11256" width="17" style="237" customWidth="1"/>
    <col min="11257" max="11257" width="16.42578125" style="237" customWidth="1"/>
    <col min="11258" max="11258" width="16.5703125" style="237" customWidth="1"/>
    <col min="11259" max="11260" width="18.28515625" style="237" customWidth="1"/>
    <col min="11261" max="11261" width="17.5703125" style="237" customWidth="1"/>
    <col min="11262" max="11262" width="16.140625" style="237" customWidth="1"/>
    <col min="11263" max="11263" width="19.28515625" style="237" customWidth="1"/>
    <col min="11264" max="11264" width="18.85546875" style="237" customWidth="1"/>
    <col min="11265" max="11265" width="17" style="237" customWidth="1"/>
    <col min="11266" max="11266" width="19.7109375" style="237" customWidth="1"/>
    <col min="11267" max="11267" width="19" style="237" customWidth="1"/>
    <col min="11268" max="11506" width="9.140625" style="237"/>
    <col min="11507" max="11507" width="7" style="237" customWidth="1"/>
    <col min="11508" max="11508" width="54.42578125" style="237" customWidth="1"/>
    <col min="11509" max="11509" width="16.5703125" style="237" customWidth="1"/>
    <col min="11510" max="11510" width="15.140625" style="237" customWidth="1"/>
    <col min="11511" max="11511" width="16.42578125" style="237" customWidth="1"/>
    <col min="11512" max="11512" width="17" style="237" customWidth="1"/>
    <col min="11513" max="11513" width="16.42578125" style="237" customWidth="1"/>
    <col min="11514" max="11514" width="16.5703125" style="237" customWidth="1"/>
    <col min="11515" max="11516" width="18.28515625" style="237" customWidth="1"/>
    <col min="11517" max="11517" width="17.5703125" style="237" customWidth="1"/>
    <col min="11518" max="11518" width="16.140625" style="237" customWidth="1"/>
    <col min="11519" max="11519" width="19.28515625" style="237" customWidth="1"/>
    <col min="11520" max="11520" width="18.85546875" style="237" customWidth="1"/>
    <col min="11521" max="11521" width="17" style="237" customWidth="1"/>
    <col min="11522" max="11522" width="19.7109375" style="237" customWidth="1"/>
    <col min="11523" max="11523" width="19" style="237" customWidth="1"/>
    <col min="11524" max="11762" width="9.140625" style="237"/>
    <col min="11763" max="11763" width="7" style="237" customWidth="1"/>
    <col min="11764" max="11764" width="54.42578125" style="237" customWidth="1"/>
    <col min="11765" max="11765" width="16.5703125" style="237" customWidth="1"/>
    <col min="11766" max="11766" width="15.140625" style="237" customWidth="1"/>
    <col min="11767" max="11767" width="16.42578125" style="237" customWidth="1"/>
    <col min="11768" max="11768" width="17" style="237" customWidth="1"/>
    <col min="11769" max="11769" width="16.42578125" style="237" customWidth="1"/>
    <col min="11770" max="11770" width="16.5703125" style="237" customWidth="1"/>
    <col min="11771" max="11772" width="18.28515625" style="237" customWidth="1"/>
    <col min="11773" max="11773" width="17.5703125" style="237" customWidth="1"/>
    <col min="11774" max="11774" width="16.140625" style="237" customWidth="1"/>
    <col min="11775" max="11775" width="19.28515625" style="237" customWidth="1"/>
    <col min="11776" max="11776" width="18.85546875" style="237" customWidth="1"/>
    <col min="11777" max="11777" width="17" style="237" customWidth="1"/>
    <col min="11778" max="11778" width="19.7109375" style="237" customWidth="1"/>
    <col min="11779" max="11779" width="19" style="237" customWidth="1"/>
    <col min="11780" max="12018" width="9.140625" style="237"/>
    <col min="12019" max="12019" width="7" style="237" customWidth="1"/>
    <col min="12020" max="12020" width="54.42578125" style="237" customWidth="1"/>
    <col min="12021" max="12021" width="16.5703125" style="237" customWidth="1"/>
    <col min="12022" max="12022" width="15.140625" style="237" customWidth="1"/>
    <col min="12023" max="12023" width="16.42578125" style="237" customWidth="1"/>
    <col min="12024" max="12024" width="17" style="237" customWidth="1"/>
    <col min="12025" max="12025" width="16.42578125" style="237" customWidth="1"/>
    <col min="12026" max="12026" width="16.5703125" style="237" customWidth="1"/>
    <col min="12027" max="12028" width="18.28515625" style="237" customWidth="1"/>
    <col min="12029" max="12029" width="17.5703125" style="237" customWidth="1"/>
    <col min="12030" max="12030" width="16.140625" style="237" customWidth="1"/>
    <col min="12031" max="12031" width="19.28515625" style="237" customWidth="1"/>
    <col min="12032" max="12032" width="18.85546875" style="237" customWidth="1"/>
    <col min="12033" max="12033" width="17" style="237" customWidth="1"/>
    <col min="12034" max="12034" width="19.7109375" style="237" customWidth="1"/>
    <col min="12035" max="12035" width="19" style="237" customWidth="1"/>
    <col min="12036" max="12274" width="9.140625" style="237"/>
    <col min="12275" max="12275" width="7" style="237" customWidth="1"/>
    <col min="12276" max="12276" width="54.42578125" style="237" customWidth="1"/>
    <col min="12277" max="12277" width="16.5703125" style="237" customWidth="1"/>
    <col min="12278" max="12278" width="15.140625" style="237" customWidth="1"/>
    <col min="12279" max="12279" width="16.42578125" style="237" customWidth="1"/>
    <col min="12280" max="12280" width="17" style="237" customWidth="1"/>
    <col min="12281" max="12281" width="16.42578125" style="237" customWidth="1"/>
    <col min="12282" max="12282" width="16.5703125" style="237" customWidth="1"/>
    <col min="12283" max="12284" width="18.28515625" style="237" customWidth="1"/>
    <col min="12285" max="12285" width="17.5703125" style="237" customWidth="1"/>
    <col min="12286" max="12286" width="16.140625" style="237" customWidth="1"/>
    <col min="12287" max="12287" width="19.28515625" style="237" customWidth="1"/>
    <col min="12288" max="12288" width="18.85546875" style="237" customWidth="1"/>
    <col min="12289" max="12289" width="17" style="237" customWidth="1"/>
    <col min="12290" max="12290" width="19.7109375" style="237" customWidth="1"/>
    <col min="12291" max="12291" width="19" style="237" customWidth="1"/>
    <col min="12292" max="12530" width="9.140625" style="237"/>
    <col min="12531" max="12531" width="7" style="237" customWidth="1"/>
    <col min="12532" max="12532" width="54.42578125" style="237" customWidth="1"/>
    <col min="12533" max="12533" width="16.5703125" style="237" customWidth="1"/>
    <col min="12534" max="12534" width="15.140625" style="237" customWidth="1"/>
    <col min="12535" max="12535" width="16.42578125" style="237" customWidth="1"/>
    <col min="12536" max="12536" width="17" style="237" customWidth="1"/>
    <col min="12537" max="12537" width="16.42578125" style="237" customWidth="1"/>
    <col min="12538" max="12538" width="16.5703125" style="237" customWidth="1"/>
    <col min="12539" max="12540" width="18.28515625" style="237" customWidth="1"/>
    <col min="12541" max="12541" width="17.5703125" style="237" customWidth="1"/>
    <col min="12542" max="12542" width="16.140625" style="237" customWidth="1"/>
    <col min="12543" max="12543" width="19.28515625" style="237" customWidth="1"/>
    <col min="12544" max="12544" width="18.85546875" style="237" customWidth="1"/>
    <col min="12545" max="12545" width="17" style="237" customWidth="1"/>
    <col min="12546" max="12546" width="19.7109375" style="237" customWidth="1"/>
    <col min="12547" max="12547" width="19" style="237" customWidth="1"/>
    <col min="12548" max="12786" width="9.140625" style="237"/>
    <col min="12787" max="12787" width="7" style="237" customWidth="1"/>
    <col min="12788" max="12788" width="54.42578125" style="237" customWidth="1"/>
    <col min="12789" max="12789" width="16.5703125" style="237" customWidth="1"/>
    <col min="12790" max="12790" width="15.140625" style="237" customWidth="1"/>
    <col min="12791" max="12791" width="16.42578125" style="237" customWidth="1"/>
    <col min="12792" max="12792" width="17" style="237" customWidth="1"/>
    <col min="12793" max="12793" width="16.42578125" style="237" customWidth="1"/>
    <col min="12794" max="12794" width="16.5703125" style="237" customWidth="1"/>
    <col min="12795" max="12796" width="18.28515625" style="237" customWidth="1"/>
    <col min="12797" max="12797" width="17.5703125" style="237" customWidth="1"/>
    <col min="12798" max="12798" width="16.140625" style="237" customWidth="1"/>
    <col min="12799" max="12799" width="19.28515625" style="237" customWidth="1"/>
    <col min="12800" max="12800" width="18.85546875" style="237" customWidth="1"/>
    <col min="12801" max="12801" width="17" style="237" customWidth="1"/>
    <col min="12802" max="12802" width="19.7109375" style="237" customWidth="1"/>
    <col min="12803" max="12803" width="19" style="237" customWidth="1"/>
    <col min="12804" max="13042" width="9.140625" style="237"/>
    <col min="13043" max="13043" width="7" style="237" customWidth="1"/>
    <col min="13044" max="13044" width="54.42578125" style="237" customWidth="1"/>
    <col min="13045" max="13045" width="16.5703125" style="237" customWidth="1"/>
    <col min="13046" max="13046" width="15.140625" style="237" customWidth="1"/>
    <col min="13047" max="13047" width="16.42578125" style="237" customWidth="1"/>
    <col min="13048" max="13048" width="17" style="237" customWidth="1"/>
    <col min="13049" max="13049" width="16.42578125" style="237" customWidth="1"/>
    <col min="13050" max="13050" width="16.5703125" style="237" customWidth="1"/>
    <col min="13051" max="13052" width="18.28515625" style="237" customWidth="1"/>
    <col min="13053" max="13053" width="17.5703125" style="237" customWidth="1"/>
    <col min="13054" max="13054" width="16.140625" style="237" customWidth="1"/>
    <col min="13055" max="13055" width="19.28515625" style="237" customWidth="1"/>
    <col min="13056" max="13056" width="18.85546875" style="237" customWidth="1"/>
    <col min="13057" max="13057" width="17" style="237" customWidth="1"/>
    <col min="13058" max="13058" width="19.7109375" style="237" customWidth="1"/>
    <col min="13059" max="13059" width="19" style="237" customWidth="1"/>
    <col min="13060" max="13298" width="9.140625" style="237"/>
    <col min="13299" max="13299" width="7" style="237" customWidth="1"/>
    <col min="13300" max="13300" width="54.42578125" style="237" customWidth="1"/>
    <col min="13301" max="13301" width="16.5703125" style="237" customWidth="1"/>
    <col min="13302" max="13302" width="15.140625" style="237" customWidth="1"/>
    <col min="13303" max="13303" width="16.42578125" style="237" customWidth="1"/>
    <col min="13304" max="13304" width="17" style="237" customWidth="1"/>
    <col min="13305" max="13305" width="16.42578125" style="237" customWidth="1"/>
    <col min="13306" max="13306" width="16.5703125" style="237" customWidth="1"/>
    <col min="13307" max="13308" width="18.28515625" style="237" customWidth="1"/>
    <col min="13309" max="13309" width="17.5703125" style="237" customWidth="1"/>
    <col min="13310" max="13310" width="16.140625" style="237" customWidth="1"/>
    <col min="13311" max="13311" width="19.28515625" style="237" customWidth="1"/>
    <col min="13312" max="13312" width="18.85546875" style="237" customWidth="1"/>
    <col min="13313" max="13313" width="17" style="237" customWidth="1"/>
    <col min="13314" max="13314" width="19.7109375" style="237" customWidth="1"/>
    <col min="13315" max="13315" width="19" style="237" customWidth="1"/>
    <col min="13316" max="13554" width="9.140625" style="237"/>
    <col min="13555" max="13555" width="7" style="237" customWidth="1"/>
    <col min="13556" max="13556" width="54.42578125" style="237" customWidth="1"/>
    <col min="13557" max="13557" width="16.5703125" style="237" customWidth="1"/>
    <col min="13558" max="13558" width="15.140625" style="237" customWidth="1"/>
    <col min="13559" max="13559" width="16.42578125" style="237" customWidth="1"/>
    <col min="13560" max="13560" width="17" style="237" customWidth="1"/>
    <col min="13561" max="13561" width="16.42578125" style="237" customWidth="1"/>
    <col min="13562" max="13562" width="16.5703125" style="237" customWidth="1"/>
    <col min="13563" max="13564" width="18.28515625" style="237" customWidth="1"/>
    <col min="13565" max="13565" width="17.5703125" style="237" customWidth="1"/>
    <col min="13566" max="13566" width="16.140625" style="237" customWidth="1"/>
    <col min="13567" max="13567" width="19.28515625" style="237" customWidth="1"/>
    <col min="13568" max="13568" width="18.85546875" style="237" customWidth="1"/>
    <col min="13569" max="13569" width="17" style="237" customWidth="1"/>
    <col min="13570" max="13570" width="19.7109375" style="237" customWidth="1"/>
    <col min="13571" max="13571" width="19" style="237" customWidth="1"/>
    <col min="13572" max="13810" width="9.140625" style="237"/>
    <col min="13811" max="13811" width="7" style="237" customWidth="1"/>
    <col min="13812" max="13812" width="54.42578125" style="237" customWidth="1"/>
    <col min="13813" max="13813" width="16.5703125" style="237" customWidth="1"/>
    <col min="13814" max="13814" width="15.140625" style="237" customWidth="1"/>
    <col min="13815" max="13815" width="16.42578125" style="237" customWidth="1"/>
    <col min="13816" max="13816" width="17" style="237" customWidth="1"/>
    <col min="13817" max="13817" width="16.42578125" style="237" customWidth="1"/>
    <col min="13818" max="13818" width="16.5703125" style="237" customWidth="1"/>
    <col min="13819" max="13820" width="18.28515625" style="237" customWidth="1"/>
    <col min="13821" max="13821" width="17.5703125" style="237" customWidth="1"/>
    <col min="13822" max="13822" width="16.140625" style="237" customWidth="1"/>
    <col min="13823" max="13823" width="19.28515625" style="237" customWidth="1"/>
    <col min="13824" max="13824" width="18.85546875" style="237" customWidth="1"/>
    <col min="13825" max="13825" width="17" style="237" customWidth="1"/>
    <col min="13826" max="13826" width="19.7109375" style="237" customWidth="1"/>
    <col min="13827" max="13827" width="19" style="237" customWidth="1"/>
    <col min="13828" max="14066" width="9.140625" style="237"/>
    <col min="14067" max="14067" width="7" style="237" customWidth="1"/>
    <col min="14068" max="14068" width="54.42578125" style="237" customWidth="1"/>
    <col min="14069" max="14069" width="16.5703125" style="237" customWidth="1"/>
    <col min="14070" max="14070" width="15.140625" style="237" customWidth="1"/>
    <col min="14071" max="14071" width="16.42578125" style="237" customWidth="1"/>
    <col min="14072" max="14072" width="17" style="237" customWidth="1"/>
    <col min="14073" max="14073" width="16.42578125" style="237" customWidth="1"/>
    <col min="14074" max="14074" width="16.5703125" style="237" customWidth="1"/>
    <col min="14075" max="14076" width="18.28515625" style="237" customWidth="1"/>
    <col min="14077" max="14077" width="17.5703125" style="237" customWidth="1"/>
    <col min="14078" max="14078" width="16.140625" style="237" customWidth="1"/>
    <col min="14079" max="14079" width="19.28515625" style="237" customWidth="1"/>
    <col min="14080" max="14080" width="18.85546875" style="237" customWidth="1"/>
    <col min="14081" max="14081" width="17" style="237" customWidth="1"/>
    <col min="14082" max="14082" width="19.7109375" style="237" customWidth="1"/>
    <col min="14083" max="14083" width="19" style="237" customWidth="1"/>
    <col min="14084" max="14322" width="9.140625" style="237"/>
    <col min="14323" max="14323" width="7" style="237" customWidth="1"/>
    <col min="14324" max="14324" width="54.42578125" style="237" customWidth="1"/>
    <col min="14325" max="14325" width="16.5703125" style="237" customWidth="1"/>
    <col min="14326" max="14326" width="15.140625" style="237" customWidth="1"/>
    <col min="14327" max="14327" width="16.42578125" style="237" customWidth="1"/>
    <col min="14328" max="14328" width="17" style="237" customWidth="1"/>
    <col min="14329" max="14329" width="16.42578125" style="237" customWidth="1"/>
    <col min="14330" max="14330" width="16.5703125" style="237" customWidth="1"/>
    <col min="14331" max="14332" width="18.28515625" style="237" customWidth="1"/>
    <col min="14333" max="14333" width="17.5703125" style="237" customWidth="1"/>
    <col min="14334" max="14334" width="16.140625" style="237" customWidth="1"/>
    <col min="14335" max="14335" width="19.28515625" style="237" customWidth="1"/>
    <col min="14336" max="14336" width="18.85546875" style="237" customWidth="1"/>
    <col min="14337" max="14337" width="17" style="237" customWidth="1"/>
    <col min="14338" max="14338" width="19.7109375" style="237" customWidth="1"/>
    <col min="14339" max="14339" width="19" style="237" customWidth="1"/>
    <col min="14340" max="14578" width="9.140625" style="237"/>
    <col min="14579" max="14579" width="7" style="237" customWidth="1"/>
    <col min="14580" max="14580" width="54.42578125" style="237" customWidth="1"/>
    <col min="14581" max="14581" width="16.5703125" style="237" customWidth="1"/>
    <col min="14582" max="14582" width="15.140625" style="237" customWidth="1"/>
    <col min="14583" max="14583" width="16.42578125" style="237" customWidth="1"/>
    <col min="14584" max="14584" width="17" style="237" customWidth="1"/>
    <col min="14585" max="14585" width="16.42578125" style="237" customWidth="1"/>
    <col min="14586" max="14586" width="16.5703125" style="237" customWidth="1"/>
    <col min="14587" max="14588" width="18.28515625" style="237" customWidth="1"/>
    <col min="14589" max="14589" width="17.5703125" style="237" customWidth="1"/>
    <col min="14590" max="14590" width="16.140625" style="237" customWidth="1"/>
    <col min="14591" max="14591" width="19.28515625" style="237" customWidth="1"/>
    <col min="14592" max="14592" width="18.85546875" style="237" customWidth="1"/>
    <col min="14593" max="14593" width="17" style="237" customWidth="1"/>
    <col min="14594" max="14594" width="19.7109375" style="237" customWidth="1"/>
    <col min="14595" max="14595" width="19" style="237" customWidth="1"/>
    <col min="14596" max="14834" width="9.140625" style="237"/>
    <col min="14835" max="14835" width="7" style="237" customWidth="1"/>
    <col min="14836" max="14836" width="54.42578125" style="237" customWidth="1"/>
    <col min="14837" max="14837" width="16.5703125" style="237" customWidth="1"/>
    <col min="14838" max="14838" width="15.140625" style="237" customWidth="1"/>
    <col min="14839" max="14839" width="16.42578125" style="237" customWidth="1"/>
    <col min="14840" max="14840" width="17" style="237" customWidth="1"/>
    <col min="14841" max="14841" width="16.42578125" style="237" customWidth="1"/>
    <col min="14842" max="14842" width="16.5703125" style="237" customWidth="1"/>
    <col min="14843" max="14844" width="18.28515625" style="237" customWidth="1"/>
    <col min="14845" max="14845" width="17.5703125" style="237" customWidth="1"/>
    <col min="14846" max="14846" width="16.140625" style="237" customWidth="1"/>
    <col min="14847" max="14847" width="19.28515625" style="237" customWidth="1"/>
    <col min="14848" max="14848" width="18.85546875" style="237" customWidth="1"/>
    <col min="14849" max="14849" width="17" style="237" customWidth="1"/>
    <col min="14850" max="14850" width="19.7109375" style="237" customWidth="1"/>
    <col min="14851" max="14851" width="19" style="237" customWidth="1"/>
    <col min="14852" max="15090" width="9.140625" style="237"/>
    <col min="15091" max="15091" width="7" style="237" customWidth="1"/>
    <col min="15092" max="15092" width="54.42578125" style="237" customWidth="1"/>
    <col min="15093" max="15093" width="16.5703125" style="237" customWidth="1"/>
    <col min="15094" max="15094" width="15.140625" style="237" customWidth="1"/>
    <col min="15095" max="15095" width="16.42578125" style="237" customWidth="1"/>
    <col min="15096" max="15096" width="17" style="237" customWidth="1"/>
    <col min="15097" max="15097" width="16.42578125" style="237" customWidth="1"/>
    <col min="15098" max="15098" width="16.5703125" style="237" customWidth="1"/>
    <col min="15099" max="15100" width="18.28515625" style="237" customWidth="1"/>
    <col min="15101" max="15101" width="17.5703125" style="237" customWidth="1"/>
    <col min="15102" max="15102" width="16.140625" style="237" customWidth="1"/>
    <col min="15103" max="15103" width="19.28515625" style="237" customWidth="1"/>
    <col min="15104" max="15104" width="18.85546875" style="237" customWidth="1"/>
    <col min="15105" max="15105" width="17" style="237" customWidth="1"/>
    <col min="15106" max="15106" width="19.7109375" style="237" customWidth="1"/>
    <col min="15107" max="15107" width="19" style="237" customWidth="1"/>
    <col min="15108" max="15346" width="9.140625" style="237"/>
    <col min="15347" max="15347" width="7" style="237" customWidth="1"/>
    <col min="15348" max="15348" width="54.42578125" style="237" customWidth="1"/>
    <col min="15349" max="15349" width="16.5703125" style="237" customWidth="1"/>
    <col min="15350" max="15350" width="15.140625" style="237" customWidth="1"/>
    <col min="15351" max="15351" width="16.42578125" style="237" customWidth="1"/>
    <col min="15352" max="15352" width="17" style="237" customWidth="1"/>
    <col min="15353" max="15353" width="16.42578125" style="237" customWidth="1"/>
    <col min="15354" max="15354" width="16.5703125" style="237" customWidth="1"/>
    <col min="15355" max="15356" width="18.28515625" style="237" customWidth="1"/>
    <col min="15357" max="15357" width="17.5703125" style="237" customWidth="1"/>
    <col min="15358" max="15358" width="16.140625" style="237" customWidth="1"/>
    <col min="15359" max="15359" width="19.28515625" style="237" customWidth="1"/>
    <col min="15360" max="15360" width="18.85546875" style="237" customWidth="1"/>
    <col min="15361" max="15361" width="17" style="237" customWidth="1"/>
    <col min="15362" max="15362" width="19.7109375" style="237" customWidth="1"/>
    <col min="15363" max="15363" width="19" style="237" customWidth="1"/>
    <col min="15364" max="15602" width="9.140625" style="237"/>
    <col min="15603" max="15603" width="7" style="237" customWidth="1"/>
    <col min="15604" max="15604" width="54.42578125" style="237" customWidth="1"/>
    <col min="15605" max="15605" width="16.5703125" style="237" customWidth="1"/>
    <col min="15606" max="15606" width="15.140625" style="237" customWidth="1"/>
    <col min="15607" max="15607" width="16.42578125" style="237" customWidth="1"/>
    <col min="15608" max="15608" width="17" style="237" customWidth="1"/>
    <col min="15609" max="15609" width="16.42578125" style="237" customWidth="1"/>
    <col min="15610" max="15610" width="16.5703125" style="237" customWidth="1"/>
    <col min="15611" max="15612" width="18.28515625" style="237" customWidth="1"/>
    <col min="15613" max="15613" width="17.5703125" style="237" customWidth="1"/>
    <col min="15614" max="15614" width="16.140625" style="237" customWidth="1"/>
    <col min="15615" max="15615" width="19.28515625" style="237" customWidth="1"/>
    <col min="15616" max="15616" width="18.85546875" style="237" customWidth="1"/>
    <col min="15617" max="15617" width="17" style="237" customWidth="1"/>
    <col min="15618" max="15618" width="19.7109375" style="237" customWidth="1"/>
    <col min="15619" max="15619" width="19" style="237" customWidth="1"/>
    <col min="15620" max="15858" width="9.140625" style="237"/>
    <col min="15859" max="15859" width="7" style="237" customWidth="1"/>
    <col min="15860" max="15860" width="54.42578125" style="237" customWidth="1"/>
    <col min="15861" max="15861" width="16.5703125" style="237" customWidth="1"/>
    <col min="15862" max="15862" width="15.140625" style="237" customWidth="1"/>
    <col min="15863" max="15863" width="16.42578125" style="237" customWidth="1"/>
    <col min="15864" max="15864" width="17" style="237" customWidth="1"/>
    <col min="15865" max="15865" width="16.42578125" style="237" customWidth="1"/>
    <col min="15866" max="15866" width="16.5703125" style="237" customWidth="1"/>
    <col min="15867" max="15868" width="18.28515625" style="237" customWidth="1"/>
    <col min="15869" max="15869" width="17.5703125" style="237" customWidth="1"/>
    <col min="15870" max="15870" width="16.140625" style="237" customWidth="1"/>
    <col min="15871" max="15871" width="19.28515625" style="237" customWidth="1"/>
    <col min="15872" max="15872" width="18.85546875" style="237" customWidth="1"/>
    <col min="15873" max="15873" width="17" style="237" customWidth="1"/>
    <col min="15874" max="15874" width="19.7109375" style="237" customWidth="1"/>
    <col min="15875" max="15875" width="19" style="237" customWidth="1"/>
    <col min="15876" max="16114" width="9.140625" style="237"/>
    <col min="16115" max="16115" width="7" style="237" customWidth="1"/>
    <col min="16116" max="16116" width="54.42578125" style="237" customWidth="1"/>
    <col min="16117" max="16117" width="16.5703125" style="237" customWidth="1"/>
    <col min="16118" max="16118" width="15.140625" style="237" customWidth="1"/>
    <col min="16119" max="16119" width="16.42578125" style="237" customWidth="1"/>
    <col min="16120" max="16120" width="17" style="237" customWidth="1"/>
    <col min="16121" max="16121" width="16.42578125" style="237" customWidth="1"/>
    <col min="16122" max="16122" width="16.5703125" style="237" customWidth="1"/>
    <col min="16123" max="16124" width="18.28515625" style="237" customWidth="1"/>
    <col min="16125" max="16125" width="17.5703125" style="237" customWidth="1"/>
    <col min="16126" max="16126" width="16.140625" style="237" customWidth="1"/>
    <col min="16127" max="16127" width="19.28515625" style="237" customWidth="1"/>
    <col min="16128" max="16128" width="18.85546875" style="237" customWidth="1"/>
    <col min="16129" max="16129" width="17" style="237" customWidth="1"/>
    <col min="16130" max="16130" width="19.7109375" style="237" customWidth="1"/>
    <col min="16131" max="16131" width="19" style="237" customWidth="1"/>
    <col min="16132" max="16384" width="9.140625" style="237"/>
  </cols>
  <sheetData>
    <row r="1" spans="1:3">
      <c r="A1" s="1291" t="s">
        <v>493</v>
      </c>
      <c r="B1" s="1291"/>
      <c r="C1" s="1291"/>
    </row>
    <row r="2" spans="1:3">
      <c r="A2" s="1292" t="s">
        <v>491</v>
      </c>
      <c r="B2" s="1292"/>
      <c r="C2" s="1292"/>
    </row>
    <row r="3" spans="1:3">
      <c r="A3" s="1293" t="s">
        <v>1828</v>
      </c>
      <c r="B3" s="1293"/>
      <c r="C3" s="1293"/>
    </row>
    <row r="4" spans="1:3">
      <c r="A4" s="389"/>
      <c r="B4" s="389"/>
      <c r="C4" s="389"/>
    </row>
    <row r="5" spans="1:3">
      <c r="A5" s="390"/>
      <c r="B5" s="390"/>
      <c r="C5" s="64"/>
    </row>
    <row r="6" spans="1:3" s="62" customFormat="1" ht="12.75" customHeight="1">
      <c r="A6" s="1294" t="s">
        <v>447</v>
      </c>
      <c r="B6" s="1294" t="s">
        <v>488</v>
      </c>
      <c r="C6" s="1294" t="s">
        <v>494</v>
      </c>
    </row>
    <row r="7" spans="1:3" s="62" customFormat="1" ht="15.75">
      <c r="A7" s="1295"/>
      <c r="B7" s="1295"/>
      <c r="C7" s="1295"/>
    </row>
    <row r="8" spans="1:3" s="62" customFormat="1" ht="12.75" customHeight="1">
      <c r="A8" s="1295"/>
      <c r="B8" s="1295"/>
      <c r="C8" s="1295"/>
    </row>
    <row r="9" spans="1:3" s="62" customFormat="1" ht="15.75">
      <c r="A9" s="1295"/>
      <c r="B9" s="1295"/>
      <c r="C9" s="1295"/>
    </row>
    <row r="10" spans="1:3" s="62" customFormat="1" ht="15.75">
      <c r="A10" s="1296"/>
      <c r="B10" s="1296"/>
      <c r="C10" s="1296"/>
    </row>
    <row r="11" spans="1:3" s="62" customFormat="1" ht="15.75">
      <c r="A11" s="377">
        <v>1</v>
      </c>
      <c r="B11" s="378">
        <v>2</v>
      </c>
      <c r="C11" s="378">
        <v>12</v>
      </c>
    </row>
    <row r="12" spans="1:3" s="61" customFormat="1" ht="15.75">
      <c r="A12" s="391">
        <v>1</v>
      </c>
      <c r="B12" s="380" t="s">
        <v>484</v>
      </c>
      <c r="C12" s="381">
        <v>53819290</v>
      </c>
    </row>
    <row r="13" spans="1:3" s="62" customFormat="1" ht="25.5">
      <c r="A13" s="392" t="s">
        <v>420</v>
      </c>
      <c r="B13" s="383" t="s">
        <v>483</v>
      </c>
      <c r="C13" s="384">
        <v>38505319</v>
      </c>
    </row>
    <row r="14" spans="1:3" s="62" customFormat="1" ht="25.5">
      <c r="A14" s="392" t="s">
        <v>419</v>
      </c>
      <c r="B14" s="383" t="s">
        <v>482</v>
      </c>
      <c r="C14" s="384">
        <v>-2482193</v>
      </c>
    </row>
    <row r="15" spans="1:3" s="62" customFormat="1" ht="15.75">
      <c r="A15" s="392" t="s">
        <v>418</v>
      </c>
      <c r="B15" s="383" t="s">
        <v>481</v>
      </c>
      <c r="C15" s="384">
        <v>394312</v>
      </c>
    </row>
    <row r="16" spans="1:3" s="62" customFormat="1" ht="25.5">
      <c r="A16" s="392" t="s">
        <v>417</v>
      </c>
      <c r="B16" s="383" t="s">
        <v>480</v>
      </c>
      <c r="C16" s="384">
        <v>53279</v>
      </c>
    </row>
    <row r="17" spans="1:6" s="62" customFormat="1" ht="15.75">
      <c r="A17" s="392" t="s">
        <v>442</v>
      </c>
      <c r="B17" s="383" t="s">
        <v>479</v>
      </c>
      <c r="C17" s="384">
        <v>1154016</v>
      </c>
    </row>
    <row r="18" spans="1:6" s="62" customFormat="1" ht="15.75">
      <c r="A18" s="392" t="s">
        <v>441</v>
      </c>
      <c r="B18" s="383" t="s">
        <v>478</v>
      </c>
      <c r="C18" s="384">
        <v>12533</v>
      </c>
    </row>
    <row r="19" spans="1:6" s="62" customFormat="1" ht="15.75">
      <c r="A19" s="392" t="s">
        <v>440</v>
      </c>
      <c r="B19" s="383" t="s">
        <v>477</v>
      </c>
      <c r="C19" s="384">
        <v>82067</v>
      </c>
    </row>
    <row r="20" spans="1:6" s="62" customFormat="1" ht="38.25">
      <c r="A20" s="392" t="s">
        <v>439</v>
      </c>
      <c r="B20" s="383" t="s">
        <v>476</v>
      </c>
      <c r="C20" s="384">
        <v>561534</v>
      </c>
    </row>
    <row r="21" spans="1:6" s="62" customFormat="1" ht="25.5">
      <c r="A21" s="392" t="s">
        <v>438</v>
      </c>
      <c r="B21" s="383" t="s">
        <v>475</v>
      </c>
      <c r="C21" s="384">
        <v>15538423</v>
      </c>
    </row>
    <row r="22" spans="1:6" s="62" customFormat="1" ht="15.75">
      <c r="A22" s="392" t="s">
        <v>437</v>
      </c>
      <c r="B22" s="383" t="s">
        <v>448</v>
      </c>
      <c r="C22" s="384">
        <v>0</v>
      </c>
    </row>
    <row r="23" spans="1:6" s="61" customFormat="1" ht="15.75">
      <c r="A23" s="391">
        <v>2</v>
      </c>
      <c r="B23" s="380" t="s">
        <v>474</v>
      </c>
      <c r="C23" s="381">
        <v>80210918</v>
      </c>
    </row>
    <row r="24" spans="1:6" s="62" customFormat="1" ht="15.75">
      <c r="A24" s="392" t="s">
        <v>416</v>
      </c>
      <c r="B24" s="383" t="s">
        <v>473</v>
      </c>
      <c r="C24" s="384">
        <v>23410666</v>
      </c>
    </row>
    <row r="25" spans="1:6" s="62" customFormat="1" ht="15.75">
      <c r="A25" s="392" t="s">
        <v>415</v>
      </c>
      <c r="B25" s="383" t="s">
        <v>472</v>
      </c>
      <c r="C25" s="384">
        <v>31202460</v>
      </c>
    </row>
    <row r="26" spans="1:6" s="62" customFormat="1" ht="38.25">
      <c r="A26" s="392" t="s">
        <v>495</v>
      </c>
      <c r="B26" s="383" t="s">
        <v>471</v>
      </c>
      <c r="C26" s="384">
        <v>24212900</v>
      </c>
    </row>
    <row r="27" spans="1:6" s="62" customFormat="1" ht="51">
      <c r="A27" s="392" t="s">
        <v>496</v>
      </c>
      <c r="B27" s="383" t="s">
        <v>470</v>
      </c>
      <c r="C27" s="384">
        <v>6550231</v>
      </c>
    </row>
    <row r="28" spans="1:6" s="62" customFormat="1" ht="15.75">
      <c r="A28" s="392" t="s">
        <v>497</v>
      </c>
      <c r="B28" s="383" t="s">
        <v>469</v>
      </c>
      <c r="C28" s="384">
        <v>439329</v>
      </c>
    </row>
    <row r="29" spans="1:6" s="62" customFormat="1" ht="15.75">
      <c r="A29" s="392" t="s">
        <v>414</v>
      </c>
      <c r="B29" s="383" t="s">
        <v>468</v>
      </c>
      <c r="C29" s="384">
        <v>5020286</v>
      </c>
    </row>
    <row r="30" spans="1:6" s="62" customFormat="1" ht="15.75">
      <c r="A30" s="393" t="s">
        <v>413</v>
      </c>
      <c r="B30" s="387" t="s">
        <v>467</v>
      </c>
      <c r="C30" s="388">
        <v>20577506</v>
      </c>
      <c r="D30" s="388">
        <v>17869687</v>
      </c>
      <c r="E30" s="62" t="s">
        <v>1435</v>
      </c>
      <c r="F30" s="394">
        <f>C30-D30</f>
        <v>2707819</v>
      </c>
    </row>
    <row r="31" spans="1:6" s="62" customFormat="1" ht="15.75">
      <c r="A31" s="392" t="s">
        <v>436</v>
      </c>
      <c r="B31" s="383" t="s">
        <v>448</v>
      </c>
      <c r="C31" s="384">
        <v>0</v>
      </c>
    </row>
    <row r="32" spans="1:6" s="61" customFormat="1" ht="15.75">
      <c r="A32" s="391">
        <v>3</v>
      </c>
      <c r="B32" s="380" t="s">
        <v>466</v>
      </c>
      <c r="C32" s="381">
        <v>64358934</v>
      </c>
    </row>
    <row r="33" spans="1:3" s="62" customFormat="1" ht="15.75">
      <c r="A33" s="392" t="s">
        <v>412</v>
      </c>
      <c r="B33" s="383" t="s">
        <v>465</v>
      </c>
      <c r="C33" s="384">
        <v>14836241</v>
      </c>
    </row>
    <row r="34" spans="1:3" s="62" customFormat="1" ht="15.75">
      <c r="A34" s="392" t="s">
        <v>411</v>
      </c>
      <c r="B34" s="383" t="s">
        <v>464</v>
      </c>
      <c r="C34" s="384">
        <v>473894</v>
      </c>
    </row>
    <row r="35" spans="1:3" s="62" customFormat="1" ht="15.75">
      <c r="A35" s="392" t="s">
        <v>410</v>
      </c>
      <c r="B35" s="383" t="s">
        <v>463</v>
      </c>
      <c r="C35" s="384">
        <v>799141</v>
      </c>
    </row>
    <row r="36" spans="1:3" s="62" customFormat="1" ht="15.75">
      <c r="A36" s="392" t="s">
        <v>409</v>
      </c>
      <c r="B36" s="383" t="s">
        <v>462</v>
      </c>
      <c r="C36" s="384">
        <v>645529</v>
      </c>
    </row>
    <row r="37" spans="1:3" s="62" customFormat="1" ht="15.75">
      <c r="A37" s="392" t="s">
        <v>435</v>
      </c>
      <c r="B37" s="383" t="s">
        <v>461</v>
      </c>
      <c r="C37" s="384">
        <v>1211197</v>
      </c>
    </row>
    <row r="38" spans="1:3" s="62" customFormat="1" ht="15.75">
      <c r="A38" s="392" t="s">
        <v>434</v>
      </c>
      <c r="B38" s="383" t="s">
        <v>460</v>
      </c>
      <c r="C38" s="384">
        <v>27968729</v>
      </c>
    </row>
    <row r="39" spans="1:3" s="62" customFormat="1" ht="25.5">
      <c r="A39" s="392" t="s">
        <v>433</v>
      </c>
      <c r="B39" s="383" t="s">
        <v>459</v>
      </c>
      <c r="C39" s="384">
        <v>434010</v>
      </c>
    </row>
    <row r="40" spans="1:3" s="62" customFormat="1" ht="25.5">
      <c r="A40" s="392" t="s">
        <v>432</v>
      </c>
      <c r="B40" s="383" t="s">
        <v>458</v>
      </c>
      <c r="C40" s="384">
        <v>183073</v>
      </c>
    </row>
    <row r="41" spans="1:3" s="62" customFormat="1" ht="25.5">
      <c r="A41" s="392" t="s">
        <v>431</v>
      </c>
      <c r="B41" s="383" t="s">
        <v>457</v>
      </c>
      <c r="C41" s="384">
        <v>115821</v>
      </c>
    </row>
    <row r="42" spans="1:3" s="62" customFormat="1" ht="25.5">
      <c r="A42" s="392" t="s">
        <v>430</v>
      </c>
      <c r="B42" s="383" t="s">
        <v>456</v>
      </c>
      <c r="C42" s="384">
        <v>7884221</v>
      </c>
    </row>
    <row r="43" spans="1:3" s="62" customFormat="1" ht="15.75">
      <c r="A43" s="392" t="s">
        <v>429</v>
      </c>
      <c r="B43" s="383" t="s">
        <v>455</v>
      </c>
      <c r="C43" s="384">
        <v>3776574</v>
      </c>
    </row>
    <row r="44" spans="1:3" s="62" customFormat="1" ht="15.75">
      <c r="A44" s="392" t="s">
        <v>428</v>
      </c>
      <c r="B44" s="383" t="s">
        <v>454</v>
      </c>
      <c r="C44" s="384">
        <v>0</v>
      </c>
    </row>
    <row r="45" spans="1:3" s="62" customFormat="1" ht="15.75">
      <c r="A45" s="392" t="s">
        <v>427</v>
      </c>
      <c r="B45" s="383" t="s">
        <v>453</v>
      </c>
      <c r="C45" s="384">
        <v>70474</v>
      </c>
    </row>
    <row r="46" spans="1:3" s="62" customFormat="1" ht="15.75">
      <c r="A46" s="392" t="s">
        <v>426</v>
      </c>
      <c r="B46" s="383" t="s">
        <v>452</v>
      </c>
      <c r="C46" s="384">
        <v>5510588</v>
      </c>
    </row>
    <row r="47" spans="1:3" s="62" customFormat="1" ht="25.5">
      <c r="A47" s="392" t="s">
        <v>425</v>
      </c>
      <c r="B47" s="383" t="s">
        <v>451</v>
      </c>
      <c r="C47" s="384">
        <v>253880</v>
      </c>
    </row>
    <row r="48" spans="1:3" s="62" customFormat="1" ht="15.75">
      <c r="A48" s="392" t="s">
        <v>424</v>
      </c>
      <c r="B48" s="383" t="s">
        <v>450</v>
      </c>
      <c r="C48" s="384">
        <v>195350</v>
      </c>
    </row>
    <row r="49" spans="1:3" s="62" customFormat="1" ht="15.75">
      <c r="A49" s="392" t="s">
        <v>423</v>
      </c>
      <c r="B49" s="383" t="s">
        <v>449</v>
      </c>
      <c r="C49" s="384">
        <v>212</v>
      </c>
    </row>
    <row r="50" spans="1:3" s="62" customFormat="1" ht="15.75">
      <c r="A50" s="392" t="s">
        <v>422</v>
      </c>
      <c r="B50" s="383" t="s">
        <v>448</v>
      </c>
      <c r="C50" s="384">
        <v>0</v>
      </c>
    </row>
    <row r="51" spans="1:3" s="61" customFormat="1" ht="15.75">
      <c r="A51" s="391">
        <v>4</v>
      </c>
      <c r="B51" s="380" t="s">
        <v>6</v>
      </c>
      <c r="C51" s="381">
        <v>198389142</v>
      </c>
    </row>
    <row r="52" spans="1:3">
      <c r="A52" s="1290"/>
      <c r="B52" s="1290"/>
      <c r="C52" s="1290"/>
    </row>
    <row r="53" spans="1:3">
      <c r="A53" s="60"/>
      <c r="B53" s="60"/>
      <c r="C53" s="60"/>
    </row>
    <row r="54" spans="1:3">
      <c r="A54" s="60"/>
      <c r="B54" s="60"/>
      <c r="C54" s="60"/>
    </row>
    <row r="55" spans="1:3" s="375" customFormat="1" ht="11.25">
      <c r="A55" s="1279" t="s">
        <v>623</v>
      </c>
      <c r="B55" s="1279"/>
      <c r="C55" s="1279"/>
    </row>
    <row r="56" spans="1:3" s="64" customFormat="1" ht="18.75">
      <c r="A56" s="1280"/>
      <c r="B56" s="1280"/>
      <c r="C56" s="1280"/>
    </row>
    <row r="57" spans="1:3" s="64" customFormat="1"/>
    <row r="58" spans="1:3" s="375" customFormat="1">
      <c r="A58" s="1281"/>
      <c r="B58" s="1281"/>
    </row>
  </sheetData>
  <mergeCells count="10">
    <mergeCell ref="A52:C52"/>
    <mergeCell ref="A55:C55"/>
    <mergeCell ref="A56:C56"/>
    <mergeCell ref="A58:B58"/>
    <mergeCell ref="A1:C1"/>
    <mergeCell ref="A2:C2"/>
    <mergeCell ref="A3:C3"/>
    <mergeCell ref="A6:A10"/>
    <mergeCell ref="B6:B10"/>
    <mergeCell ref="C6:C10"/>
  </mergeCells>
  <pageMargins left="0" right="0" top="0.39370078740157483" bottom="0" header="0.51181102362204722" footer="0.51181102362204722"/>
  <pageSetup paperSize="9" scale="4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0"/>
  <sheetViews>
    <sheetView topLeftCell="H4" zoomScale="90" zoomScaleNormal="90" workbookViewId="0">
      <selection activeCell="M39" sqref="M39"/>
    </sheetView>
  </sheetViews>
  <sheetFormatPr defaultRowHeight="12"/>
  <cols>
    <col min="1" max="1" width="20.140625" style="395" customWidth="1"/>
    <col min="2" max="4" width="9.140625" style="395"/>
    <col min="5" max="5" width="10.7109375" style="395" customWidth="1"/>
    <col min="6" max="6" width="15.140625" style="395" customWidth="1"/>
    <col min="7" max="7" width="17.140625" style="395" customWidth="1"/>
    <col min="8" max="8" width="22.85546875" style="395" customWidth="1"/>
    <col min="9" max="9" width="12.140625" style="395" customWidth="1"/>
    <col min="10" max="10" width="9.140625" style="395"/>
    <col min="11" max="11" width="19.85546875" style="395" customWidth="1"/>
    <col min="12" max="12" width="15.85546875" style="395" customWidth="1"/>
    <col min="13" max="13" width="16.5703125" style="395" customWidth="1"/>
    <col min="14" max="16384" width="9.140625" style="395"/>
  </cols>
  <sheetData>
    <row r="1" spans="1:12" ht="15" customHeight="1">
      <c r="A1" s="1299" t="s">
        <v>622</v>
      </c>
      <c r="B1" s="1299"/>
      <c r="C1" s="1299"/>
      <c r="D1" s="1299"/>
      <c r="E1" s="1299"/>
      <c r="F1" s="1299"/>
      <c r="G1" s="1299"/>
      <c r="H1" s="1299"/>
      <c r="I1" s="1299"/>
    </row>
    <row r="2" spans="1:12">
      <c r="A2" s="1303" t="s">
        <v>624</v>
      </c>
      <c r="B2" s="1303"/>
      <c r="C2" s="1303"/>
      <c r="D2" s="1303"/>
      <c r="E2" s="1303"/>
      <c r="F2" s="1303"/>
      <c r="G2" s="1303"/>
      <c r="H2" s="1303"/>
      <c r="I2" s="1303"/>
    </row>
    <row r="3" spans="1:12">
      <c r="A3" s="1300" t="s">
        <v>1830</v>
      </c>
      <c r="B3" s="1300"/>
      <c r="C3" s="1300"/>
      <c r="D3" s="1300"/>
      <c r="E3" s="1300"/>
      <c r="F3" s="1300"/>
      <c r="G3" s="1300"/>
      <c r="H3" s="1300"/>
      <c r="I3" s="1300"/>
    </row>
    <row r="4" spans="1:12">
      <c r="A4" s="1302"/>
      <c r="B4" s="1301" t="s">
        <v>626</v>
      </c>
      <c r="C4" s="1302" t="s">
        <v>486</v>
      </c>
      <c r="D4" s="1302"/>
      <c r="E4" s="1302"/>
      <c r="F4" s="1302"/>
      <c r="G4" s="1302"/>
      <c r="H4" s="1302"/>
      <c r="I4" s="1302"/>
    </row>
    <row r="5" spans="1:12" ht="24.75" customHeight="1">
      <c r="A5" s="1302"/>
      <c r="B5" s="1301"/>
      <c r="C5" s="1301" t="s">
        <v>627</v>
      </c>
      <c r="D5" s="1302" t="s">
        <v>485</v>
      </c>
      <c r="E5" s="1302"/>
      <c r="F5" s="1302"/>
      <c r="G5" s="1301" t="s">
        <v>628</v>
      </c>
      <c r="H5" s="1301" t="s">
        <v>629</v>
      </c>
      <c r="I5" s="1301" t="s">
        <v>630</v>
      </c>
      <c r="K5" s="416">
        <v>2015</v>
      </c>
      <c r="L5" s="419" t="s">
        <v>664</v>
      </c>
    </row>
    <row r="6" spans="1:12" ht="27" customHeight="1">
      <c r="A6" s="1302"/>
      <c r="B6" s="1301"/>
      <c r="C6" s="1301"/>
      <c r="D6" s="414" t="s">
        <v>631</v>
      </c>
      <c r="E6" s="414" t="s">
        <v>632</v>
      </c>
      <c r="F6" s="414" t="s">
        <v>633</v>
      </c>
      <c r="G6" s="1301"/>
      <c r="H6" s="1301"/>
      <c r="I6" s="1301"/>
      <c r="K6" s="418" t="s">
        <v>665</v>
      </c>
      <c r="L6" s="417">
        <v>25719554.300000001</v>
      </c>
    </row>
    <row r="7" spans="1:12" ht="12" customHeight="1">
      <c r="A7" s="410" t="s">
        <v>634</v>
      </c>
      <c r="B7" s="409">
        <v>462027</v>
      </c>
      <c r="C7" s="409">
        <v>426825</v>
      </c>
      <c r="D7" s="409">
        <v>206403</v>
      </c>
      <c r="E7" s="409">
        <v>118832</v>
      </c>
      <c r="F7" s="409">
        <v>101590</v>
      </c>
      <c r="G7" s="409">
        <v>15935</v>
      </c>
      <c r="H7" s="409">
        <v>1021</v>
      </c>
      <c r="I7" s="409">
        <v>18246</v>
      </c>
      <c r="K7" s="416" t="s">
        <v>666</v>
      </c>
      <c r="L7" s="415">
        <v>20493518.399999999</v>
      </c>
    </row>
    <row r="8" spans="1:12" ht="12.75" customHeight="1">
      <c r="A8" s="410" t="s">
        <v>635</v>
      </c>
      <c r="B8" s="409">
        <v>437568</v>
      </c>
      <c r="C8" s="409">
        <v>376759</v>
      </c>
      <c r="D8" s="409">
        <v>172030</v>
      </c>
      <c r="E8" s="409">
        <v>116383</v>
      </c>
      <c r="F8" s="409">
        <v>88346</v>
      </c>
      <c r="G8" s="409">
        <v>16795</v>
      </c>
      <c r="H8" s="410">
        <v>924</v>
      </c>
      <c r="I8" s="409">
        <v>43090</v>
      </c>
      <c r="L8" s="412"/>
    </row>
    <row r="9" spans="1:12">
      <c r="A9" s="410" t="s">
        <v>636</v>
      </c>
      <c r="B9" s="409">
        <v>450492</v>
      </c>
      <c r="C9" s="409">
        <v>399991</v>
      </c>
      <c r="D9" s="409">
        <v>194707</v>
      </c>
      <c r="E9" s="409">
        <v>110876</v>
      </c>
      <c r="F9" s="409">
        <v>94408</v>
      </c>
      <c r="G9" s="409">
        <v>23297</v>
      </c>
      <c r="H9" s="410">
        <v>677</v>
      </c>
      <c r="I9" s="409">
        <v>26527</v>
      </c>
      <c r="L9" s="412"/>
    </row>
    <row r="10" spans="1:12">
      <c r="A10" s="410" t="s">
        <v>637</v>
      </c>
      <c r="B10" s="409">
        <v>490623</v>
      </c>
      <c r="C10" s="409">
        <v>461292</v>
      </c>
      <c r="D10" s="409">
        <v>235442</v>
      </c>
      <c r="E10" s="409">
        <v>132982</v>
      </c>
      <c r="F10" s="409">
        <v>92868</v>
      </c>
      <c r="G10" s="409">
        <v>11247</v>
      </c>
      <c r="H10" s="409">
        <v>1713</v>
      </c>
      <c r="I10" s="409">
        <v>16371</v>
      </c>
      <c r="K10" s="410" t="s">
        <v>1834</v>
      </c>
      <c r="L10" s="402">
        <f>B7</f>
        <v>462027</v>
      </c>
    </row>
    <row r="11" spans="1:12" ht="24">
      <c r="A11" s="410" t="s">
        <v>638</v>
      </c>
      <c r="B11" s="409">
        <v>417417</v>
      </c>
      <c r="C11" s="409">
        <v>376582</v>
      </c>
      <c r="D11" s="409">
        <v>215385</v>
      </c>
      <c r="E11" s="409">
        <v>92739</v>
      </c>
      <c r="F11" s="409">
        <v>68458</v>
      </c>
      <c r="G11" s="409">
        <v>16937</v>
      </c>
      <c r="H11" s="410">
        <v>637</v>
      </c>
      <c r="I11" s="409">
        <v>23261</v>
      </c>
      <c r="K11" s="414" t="s">
        <v>1833</v>
      </c>
      <c r="L11" s="402">
        <f>B31</f>
        <v>11810</v>
      </c>
    </row>
    <row r="12" spans="1:12">
      <c r="A12" s="410" t="s">
        <v>639</v>
      </c>
      <c r="B12" s="409">
        <v>409480</v>
      </c>
      <c r="C12" s="409">
        <v>372454</v>
      </c>
      <c r="D12" s="409">
        <v>176692</v>
      </c>
      <c r="E12" s="409">
        <v>110680</v>
      </c>
      <c r="F12" s="409">
        <v>85082</v>
      </c>
      <c r="G12" s="409">
        <v>15040</v>
      </c>
      <c r="H12" s="410">
        <v>777</v>
      </c>
      <c r="I12" s="409">
        <v>21209</v>
      </c>
      <c r="K12" s="410" t="s">
        <v>1832</v>
      </c>
      <c r="L12" s="413">
        <f>L11/L10</f>
        <v>2.5561276721923178E-2</v>
      </c>
    </row>
    <row r="13" spans="1:12">
      <c r="A13" s="410" t="s">
        <v>641</v>
      </c>
      <c r="B13" s="409">
        <v>331068</v>
      </c>
      <c r="C13" s="409">
        <v>319809</v>
      </c>
      <c r="D13" s="409">
        <v>169942</v>
      </c>
      <c r="E13" s="409">
        <v>85153</v>
      </c>
      <c r="F13" s="409">
        <v>64714</v>
      </c>
      <c r="G13" s="409">
        <v>6749</v>
      </c>
      <c r="H13" s="410">
        <v>317</v>
      </c>
      <c r="I13" s="409">
        <v>4193</v>
      </c>
      <c r="L13" s="412"/>
    </row>
    <row r="14" spans="1:12">
      <c r="A14" s="410" t="s">
        <v>642</v>
      </c>
      <c r="B14" s="409">
        <v>554492</v>
      </c>
      <c r="C14" s="409">
        <v>466846</v>
      </c>
      <c r="D14" s="409">
        <v>212779</v>
      </c>
      <c r="E14" s="409">
        <v>130779</v>
      </c>
      <c r="F14" s="409">
        <v>123288</v>
      </c>
      <c r="G14" s="409">
        <v>34601</v>
      </c>
      <c r="H14" s="409">
        <v>1514</v>
      </c>
      <c r="I14" s="409">
        <v>51531</v>
      </c>
      <c r="L14" s="411">
        <f>L7*L12*1000</f>
        <v>523840494.8282243</v>
      </c>
    </row>
    <row r="15" spans="1:12">
      <c r="A15" s="410" t="s">
        <v>643</v>
      </c>
      <c r="B15" s="409">
        <v>417336</v>
      </c>
      <c r="C15" s="409">
        <v>363361</v>
      </c>
      <c r="D15" s="409">
        <v>167347</v>
      </c>
      <c r="E15" s="409">
        <v>99898</v>
      </c>
      <c r="F15" s="409">
        <v>96116</v>
      </c>
      <c r="G15" s="409">
        <v>22917</v>
      </c>
      <c r="H15" s="409">
        <v>1057</v>
      </c>
      <c r="I15" s="409">
        <v>30001</v>
      </c>
    </row>
    <row r="16" spans="1:12">
      <c r="A16" s="410" t="s">
        <v>644</v>
      </c>
      <c r="B16" s="409">
        <v>346302</v>
      </c>
      <c r="C16" s="409">
        <v>310742</v>
      </c>
      <c r="D16" s="409">
        <v>177397</v>
      </c>
      <c r="E16" s="409">
        <v>82489</v>
      </c>
      <c r="F16" s="409">
        <v>50856</v>
      </c>
      <c r="G16" s="409">
        <v>13048</v>
      </c>
      <c r="H16" s="410">
        <v>346</v>
      </c>
      <c r="I16" s="409">
        <v>22166</v>
      </c>
    </row>
    <row r="17" spans="1:13">
      <c r="A17" s="410" t="s">
        <v>645</v>
      </c>
      <c r="B17" s="409">
        <v>471778</v>
      </c>
      <c r="C17" s="409">
        <v>447719</v>
      </c>
      <c r="D17" s="409">
        <v>221697</v>
      </c>
      <c r="E17" s="409">
        <v>130484</v>
      </c>
      <c r="F17" s="409">
        <v>95538</v>
      </c>
      <c r="G17" s="409">
        <v>11308</v>
      </c>
      <c r="H17" s="410">
        <v>268</v>
      </c>
      <c r="I17" s="409">
        <v>12483</v>
      </c>
    </row>
    <row r="18" spans="1:13">
      <c r="A18" s="410" t="s">
        <v>646</v>
      </c>
      <c r="B18" s="409">
        <v>317893</v>
      </c>
      <c r="C18" s="409">
        <v>305783</v>
      </c>
      <c r="D18" s="409">
        <v>158397</v>
      </c>
      <c r="E18" s="409">
        <v>86812</v>
      </c>
      <c r="F18" s="409">
        <v>60574</v>
      </c>
      <c r="G18" s="409">
        <v>10564</v>
      </c>
      <c r="H18" s="410">
        <v>581</v>
      </c>
      <c r="I18" s="410">
        <v>965</v>
      </c>
    </row>
    <row r="19" spans="1:13">
      <c r="A19" s="410" t="s">
        <v>648</v>
      </c>
      <c r="B19" s="409">
        <v>451393</v>
      </c>
      <c r="C19" s="409">
        <v>431789</v>
      </c>
      <c r="D19" s="409">
        <v>220393</v>
      </c>
      <c r="E19" s="409">
        <v>121143</v>
      </c>
      <c r="F19" s="409">
        <v>90253</v>
      </c>
      <c r="G19" s="409">
        <v>9234</v>
      </c>
      <c r="H19" s="410">
        <v>774</v>
      </c>
      <c r="I19" s="409">
        <v>9596</v>
      </c>
    </row>
    <row r="20" spans="1:13">
      <c r="A20" s="410" t="s">
        <v>649</v>
      </c>
      <c r="B20" s="409">
        <v>432383</v>
      </c>
      <c r="C20" s="409">
        <v>374768</v>
      </c>
      <c r="D20" s="409">
        <v>160484</v>
      </c>
      <c r="E20" s="409">
        <v>125198</v>
      </c>
      <c r="F20" s="409">
        <v>89086</v>
      </c>
      <c r="G20" s="409">
        <v>27013</v>
      </c>
      <c r="H20" s="409">
        <v>1122</v>
      </c>
      <c r="I20" s="409">
        <v>29480</v>
      </c>
    </row>
    <row r="21" spans="1:13">
      <c r="A21" s="410" t="s">
        <v>650</v>
      </c>
      <c r="B21" s="409">
        <v>487121</v>
      </c>
      <c r="C21" s="409">
        <v>446017</v>
      </c>
      <c r="D21" s="409">
        <v>227203</v>
      </c>
      <c r="E21" s="409">
        <v>124642</v>
      </c>
      <c r="F21" s="409">
        <v>94172</v>
      </c>
      <c r="G21" s="409">
        <v>17147</v>
      </c>
      <c r="H21" s="409">
        <v>1236</v>
      </c>
      <c r="I21" s="409">
        <v>22721</v>
      </c>
    </row>
    <row r="22" spans="1:13">
      <c r="A22" s="410" t="s">
        <v>408</v>
      </c>
      <c r="B22" s="409">
        <v>586643</v>
      </c>
      <c r="C22" s="409">
        <v>557804</v>
      </c>
      <c r="D22" s="409">
        <v>229022</v>
      </c>
      <c r="E22" s="409">
        <v>149263</v>
      </c>
      <c r="F22" s="409">
        <v>179519</v>
      </c>
      <c r="G22" s="409">
        <v>23136</v>
      </c>
      <c r="H22" s="409">
        <v>1050</v>
      </c>
      <c r="I22" s="409">
        <v>4653</v>
      </c>
    </row>
    <row r="23" spans="1:13">
      <c r="A23" s="410" t="s">
        <v>407</v>
      </c>
      <c r="B23" s="409">
        <v>730587</v>
      </c>
      <c r="C23" s="409">
        <v>706444</v>
      </c>
      <c r="D23" s="409">
        <v>308038</v>
      </c>
      <c r="E23" s="409">
        <v>182934</v>
      </c>
      <c r="F23" s="409">
        <v>215472</v>
      </c>
      <c r="G23" s="409">
        <v>10973</v>
      </c>
      <c r="H23" s="409">
        <v>1893</v>
      </c>
      <c r="I23" s="409">
        <v>11277</v>
      </c>
    </row>
    <row r="26" spans="1:13" ht="12.75">
      <c r="A26" s="1265" t="s">
        <v>667</v>
      </c>
      <c r="B26" s="1265"/>
      <c r="C26" s="1265"/>
      <c r="D26" s="1265"/>
      <c r="E26" s="1265"/>
      <c r="H26" s="1265" t="s">
        <v>1831</v>
      </c>
      <c r="I26" s="1265"/>
      <c r="J26" s="1265"/>
      <c r="K26" s="1265"/>
      <c r="L26" s="408"/>
    </row>
    <row r="27" spans="1:13" ht="12.75">
      <c r="A27" s="1266" t="s">
        <v>668</v>
      </c>
      <c r="B27" s="1266"/>
      <c r="C27" s="1266"/>
      <c r="D27" s="1266"/>
      <c r="E27" s="1266"/>
      <c r="H27" s="1265" t="s">
        <v>651</v>
      </c>
      <c r="I27" s="1265"/>
      <c r="J27" s="1265"/>
      <c r="K27" s="1265"/>
      <c r="L27" s="408"/>
    </row>
    <row r="28" spans="1:13" ht="12" customHeight="1">
      <c r="A28" s="1267" t="s">
        <v>1830</v>
      </c>
      <c r="B28" s="1267"/>
      <c r="C28" s="1267"/>
      <c r="D28" s="1267"/>
      <c r="H28" s="1298" t="s">
        <v>1829</v>
      </c>
      <c r="I28" s="1298"/>
      <c r="J28" s="1298"/>
      <c r="K28" s="1298"/>
      <c r="L28" s="407"/>
    </row>
    <row r="29" spans="1:13">
      <c r="A29" s="1268"/>
      <c r="B29" s="1269" t="s">
        <v>652</v>
      </c>
      <c r="C29" s="1269" t="s">
        <v>486</v>
      </c>
      <c r="D29" s="1269"/>
      <c r="E29" s="406"/>
      <c r="H29" s="1268"/>
      <c r="I29" s="1269" t="s">
        <v>652</v>
      </c>
      <c r="J29" s="1269" t="s">
        <v>486</v>
      </c>
      <c r="K29" s="1269"/>
      <c r="L29" s="1297"/>
    </row>
    <row r="30" spans="1:13" ht="22.5">
      <c r="A30" s="1268"/>
      <c r="B30" s="1269"/>
      <c r="C30" s="405" t="s">
        <v>653</v>
      </c>
      <c r="D30" s="405" t="s">
        <v>654</v>
      </c>
      <c r="E30" s="406"/>
      <c r="H30" s="1268"/>
      <c r="I30" s="1269"/>
      <c r="J30" s="405" t="s">
        <v>653</v>
      </c>
      <c r="K30" s="405" t="s">
        <v>654</v>
      </c>
      <c r="L30" s="1297"/>
    </row>
    <row r="31" spans="1:13" ht="27" customHeight="1">
      <c r="A31" s="403" t="s">
        <v>655</v>
      </c>
      <c r="B31" s="399">
        <v>11810</v>
      </c>
      <c r="C31" s="399">
        <v>14868</v>
      </c>
      <c r="D31" s="399">
        <v>7777</v>
      </c>
      <c r="E31" s="404">
        <f>SUM(E32:E39)</f>
        <v>100</v>
      </c>
      <c r="F31" s="401">
        <f t="shared" ref="F31:F39" si="0">$L$14*E31%</f>
        <v>523840494.8282243</v>
      </c>
      <c r="H31" s="403" t="s">
        <v>655</v>
      </c>
      <c r="I31" s="399">
        <v>40067</v>
      </c>
      <c r="J31" s="399">
        <v>45910</v>
      </c>
      <c r="K31" s="399">
        <v>30334</v>
      </c>
      <c r="L31" s="398">
        <f t="shared" ref="L31:L39" si="1">I31/$I$31*100</f>
        <v>100</v>
      </c>
      <c r="M31" s="397">
        <f t="shared" ref="M31:M39" si="2">$L$14*L31%</f>
        <v>523840494.8282243</v>
      </c>
    </row>
    <row r="32" spans="1:13" ht="24.75" customHeight="1">
      <c r="A32" s="400" t="s">
        <v>656</v>
      </c>
      <c r="B32" s="399">
        <v>4464</v>
      </c>
      <c r="C32" s="399">
        <v>5393</v>
      </c>
      <c r="D32" s="399">
        <v>3240</v>
      </c>
      <c r="E32" s="402">
        <f t="shared" ref="E32:E39" si="3">B32/$B$31*100</f>
        <v>37.798475867908557</v>
      </c>
      <c r="F32" s="401">
        <f t="shared" si="0"/>
        <v>198003723.02397916</v>
      </c>
      <c r="H32" s="400" t="s">
        <v>656</v>
      </c>
      <c r="I32" s="399">
        <v>15147</v>
      </c>
      <c r="J32" s="399">
        <v>16652</v>
      </c>
      <c r="K32" s="399">
        <v>12638</v>
      </c>
      <c r="L32" s="398">
        <f t="shared" si="1"/>
        <v>37.804178001846907</v>
      </c>
      <c r="M32" s="397">
        <f t="shared" si="2"/>
        <v>198033593.11061755</v>
      </c>
    </row>
    <row r="33" spans="1:13" ht="24" customHeight="1">
      <c r="A33" s="400" t="s">
        <v>657</v>
      </c>
      <c r="B33" s="399">
        <v>53</v>
      </c>
      <c r="C33" s="399">
        <v>60</v>
      </c>
      <c r="D33" s="399">
        <v>40</v>
      </c>
      <c r="E33" s="402">
        <f t="shared" si="3"/>
        <v>0.44877222692633362</v>
      </c>
      <c r="F33" s="401">
        <f t="shared" si="0"/>
        <v>2350850.6541825477</v>
      </c>
      <c r="H33" s="400" t="s">
        <v>657</v>
      </c>
      <c r="I33" s="399">
        <v>175</v>
      </c>
      <c r="J33" s="399">
        <v>188</v>
      </c>
      <c r="K33" s="399">
        <v>159</v>
      </c>
      <c r="L33" s="398">
        <f t="shared" si="1"/>
        <v>0.43676841290837848</v>
      </c>
      <c r="M33" s="397">
        <f t="shared" si="2"/>
        <v>2287969.8154326314</v>
      </c>
    </row>
    <row r="34" spans="1:13" ht="24" customHeight="1">
      <c r="A34" s="400" t="s">
        <v>658</v>
      </c>
      <c r="B34" s="399">
        <v>295</v>
      </c>
      <c r="C34" s="399">
        <v>377</v>
      </c>
      <c r="D34" s="399">
        <v>187</v>
      </c>
      <c r="E34" s="402">
        <f t="shared" si="3"/>
        <v>2.497883149872989</v>
      </c>
      <c r="F34" s="401">
        <f t="shared" si="0"/>
        <v>13084923.452525502</v>
      </c>
      <c r="H34" s="400" t="s">
        <v>658</v>
      </c>
      <c r="I34" s="399">
        <v>1000</v>
      </c>
      <c r="J34" s="399">
        <v>1164</v>
      </c>
      <c r="K34" s="399">
        <v>728</v>
      </c>
      <c r="L34" s="398">
        <f t="shared" si="1"/>
        <v>2.4958195023335912</v>
      </c>
      <c r="M34" s="397">
        <f t="shared" si="2"/>
        <v>13074113.231043609</v>
      </c>
    </row>
    <row r="35" spans="1:13" ht="15">
      <c r="A35" s="400" t="s">
        <v>659</v>
      </c>
      <c r="B35" s="399">
        <v>655</v>
      </c>
      <c r="C35" s="399">
        <v>913</v>
      </c>
      <c r="D35" s="399">
        <v>315</v>
      </c>
      <c r="E35" s="402">
        <f t="shared" si="3"/>
        <v>5.5461473327688404</v>
      </c>
      <c r="F35" s="401">
        <f t="shared" si="0"/>
        <v>29052965.631878655</v>
      </c>
      <c r="H35" s="400" t="s">
        <v>659</v>
      </c>
      <c r="I35" s="399">
        <v>2223</v>
      </c>
      <c r="J35" s="399">
        <v>2820</v>
      </c>
      <c r="K35" s="399">
        <v>1227</v>
      </c>
      <c r="L35" s="398">
        <f t="shared" si="1"/>
        <v>5.5482067536875732</v>
      </c>
      <c r="M35" s="397">
        <f t="shared" si="2"/>
        <v>29063753.712609943</v>
      </c>
    </row>
    <row r="36" spans="1:13" ht="17.25" customHeight="1">
      <c r="A36" s="400" t="s">
        <v>660</v>
      </c>
      <c r="B36" s="399">
        <v>3110</v>
      </c>
      <c r="C36" s="399">
        <v>4019</v>
      </c>
      <c r="D36" s="399">
        <v>1912</v>
      </c>
      <c r="E36" s="402">
        <f t="shared" si="3"/>
        <v>26.333615580016932</v>
      </c>
      <c r="F36" s="401">
        <f t="shared" si="0"/>
        <v>137946142.16052309</v>
      </c>
      <c r="H36" s="400" t="s">
        <v>660</v>
      </c>
      <c r="I36" s="399">
        <v>10552</v>
      </c>
      <c r="J36" s="399">
        <v>12409</v>
      </c>
      <c r="K36" s="399">
        <v>7457</v>
      </c>
      <c r="L36" s="398">
        <f t="shared" si="1"/>
        <v>26.335887388624059</v>
      </c>
      <c r="M36" s="397">
        <f t="shared" si="2"/>
        <v>137958042.81397218</v>
      </c>
    </row>
    <row r="37" spans="1:13" ht="15.75" customHeight="1">
      <c r="A37" s="400" t="s">
        <v>661</v>
      </c>
      <c r="B37" s="945">
        <v>1278</v>
      </c>
      <c r="C37" s="399">
        <v>1717</v>
      </c>
      <c r="D37" s="399">
        <v>700</v>
      </c>
      <c r="E37" s="402">
        <f t="shared" si="3"/>
        <v>10.821337849280271</v>
      </c>
      <c r="F37" s="401">
        <f t="shared" si="0"/>
        <v>56686549.736703701</v>
      </c>
      <c r="H37" s="400" t="s">
        <v>661</v>
      </c>
      <c r="I37" s="399">
        <v>4336</v>
      </c>
      <c r="J37" s="399">
        <v>5301</v>
      </c>
      <c r="K37" s="399">
        <v>2729</v>
      </c>
      <c r="L37" s="398">
        <f t="shared" si="1"/>
        <v>10.821873362118453</v>
      </c>
      <c r="M37" s="397">
        <f t="shared" si="2"/>
        <v>56689354.969805099</v>
      </c>
    </row>
    <row r="38" spans="1:13" ht="14.25" customHeight="1">
      <c r="A38" s="400" t="s">
        <v>662</v>
      </c>
      <c r="B38" s="399">
        <v>1801</v>
      </c>
      <c r="C38" s="399">
        <v>2248</v>
      </c>
      <c r="D38" s="399">
        <v>1213</v>
      </c>
      <c r="E38" s="402">
        <f t="shared" si="3"/>
        <v>15.249788314987297</v>
      </c>
      <c r="F38" s="401">
        <f t="shared" si="0"/>
        <v>79884566.569486186</v>
      </c>
      <c r="H38" s="400" t="s">
        <v>662</v>
      </c>
      <c r="I38" s="399">
        <v>6112</v>
      </c>
      <c r="J38" s="399">
        <v>6940</v>
      </c>
      <c r="K38" s="399">
        <v>4731</v>
      </c>
      <c r="L38" s="398">
        <f t="shared" si="1"/>
        <v>15.25444879826291</v>
      </c>
      <c r="M38" s="397">
        <f t="shared" si="2"/>
        <v>79908980.06813854</v>
      </c>
    </row>
    <row r="39" spans="1:13" ht="24.75" customHeight="1">
      <c r="A39" s="400" t="s">
        <v>663</v>
      </c>
      <c r="B39" s="945">
        <v>154</v>
      </c>
      <c r="C39" s="399">
        <v>141</v>
      </c>
      <c r="D39" s="399">
        <v>170</v>
      </c>
      <c r="E39" s="402">
        <f t="shared" si="3"/>
        <v>1.3039796782387807</v>
      </c>
      <c r="F39" s="401">
        <f t="shared" si="0"/>
        <v>6830773.5989455162</v>
      </c>
      <c r="H39" s="400" t="s">
        <v>663</v>
      </c>
      <c r="I39" s="399">
        <v>522</v>
      </c>
      <c r="J39" s="399">
        <v>436</v>
      </c>
      <c r="K39" s="399">
        <v>665</v>
      </c>
      <c r="L39" s="398">
        <f t="shared" si="1"/>
        <v>1.3028177802181347</v>
      </c>
      <c r="M39" s="397">
        <f t="shared" si="2"/>
        <v>6824687.1066047642</v>
      </c>
    </row>
    <row r="40" spans="1:13">
      <c r="F40" s="396"/>
    </row>
  </sheetData>
  <mergeCells count="24">
    <mergeCell ref="A1:I1"/>
    <mergeCell ref="A3:I3"/>
    <mergeCell ref="A26:E26"/>
    <mergeCell ref="A27:E27"/>
    <mergeCell ref="B4:B6"/>
    <mergeCell ref="C4:I4"/>
    <mergeCell ref="C5:C6"/>
    <mergeCell ref="D5:F5"/>
    <mergeCell ref="G5:G6"/>
    <mergeCell ref="A2:I2"/>
    <mergeCell ref="H5:H6"/>
    <mergeCell ref="I5:I6"/>
    <mergeCell ref="A4:A6"/>
    <mergeCell ref="H26:K26"/>
    <mergeCell ref="H27:K27"/>
    <mergeCell ref="C29:D29"/>
    <mergeCell ref="L29:L30"/>
    <mergeCell ref="B29:B30"/>
    <mergeCell ref="A29:A30"/>
    <mergeCell ref="A28:D28"/>
    <mergeCell ref="H28:K28"/>
    <mergeCell ref="H29:H30"/>
    <mergeCell ref="I29:I30"/>
    <mergeCell ref="J29:K2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zoomScaleNormal="100" workbookViewId="0">
      <pane xSplit="6" ySplit="9" topLeftCell="G35" activePane="bottomRight" state="frozen"/>
      <selection pane="topRight" activeCell="H1" sqref="H1"/>
      <selection pane="bottomLeft" activeCell="A15" sqref="A15"/>
      <selection pane="bottomRight" activeCell="F41" sqref="F41"/>
    </sheetView>
  </sheetViews>
  <sheetFormatPr defaultRowHeight="11.25"/>
  <cols>
    <col min="1" max="5" width="4" style="78" customWidth="1"/>
    <col min="6" max="6" width="53.28515625" style="49" customWidth="1"/>
    <col min="7" max="10" width="13.85546875" style="49" hidden="1" customWidth="1"/>
    <col min="11" max="13" width="12" style="49" hidden="1" customWidth="1"/>
    <col min="14" max="14" width="13.85546875" style="49" customWidth="1"/>
    <col min="15" max="15" width="12.7109375" style="49" hidden="1" customWidth="1"/>
    <col min="16" max="16" width="11.28515625" style="49" hidden="1" customWidth="1"/>
    <col min="17" max="16384" width="9.140625" style="49"/>
  </cols>
  <sheetData>
    <row r="1" spans="1:16" s="44" customFormat="1" ht="15.75">
      <c r="A1" s="1309" t="s">
        <v>1509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O1" s="1309"/>
      <c r="P1" s="1309"/>
    </row>
    <row r="2" spans="1:16" s="44" customFormat="1" ht="15.75">
      <c r="A2" s="1309" t="s">
        <v>1484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</row>
    <row r="3" spans="1:16" s="44" customFormat="1" ht="15.75">
      <c r="A3" s="66"/>
      <c r="B3" s="42"/>
      <c r="C3" s="42"/>
      <c r="D3" s="42"/>
      <c r="E3" s="42"/>
      <c r="F3" s="43"/>
      <c r="G3" s="43"/>
      <c r="H3" s="45"/>
      <c r="I3" s="43"/>
      <c r="J3" s="43"/>
      <c r="K3" s="43"/>
      <c r="L3" s="43"/>
      <c r="M3" s="43"/>
      <c r="N3" s="67"/>
      <c r="O3" s="43"/>
      <c r="P3" s="43"/>
    </row>
    <row r="4" spans="1:16" s="48" customFormat="1">
      <c r="A4" s="46" t="s">
        <v>500</v>
      </c>
      <c r="B4" s="46"/>
      <c r="C4" s="46"/>
      <c r="D4" s="46"/>
      <c r="E4" s="46"/>
      <c r="F4" s="47" t="s">
        <v>1485</v>
      </c>
      <c r="N4" s="68"/>
    </row>
    <row r="5" spans="1:16">
      <c r="A5" s="46" t="s">
        <v>501</v>
      </c>
      <c r="B5" s="46"/>
      <c r="C5" s="46"/>
      <c r="D5" s="46"/>
      <c r="E5" s="46"/>
      <c r="F5" s="47" t="s">
        <v>228</v>
      </c>
      <c r="G5" s="48"/>
      <c r="H5" s="48"/>
    </row>
    <row r="6" spans="1:16" s="69" customFormat="1" ht="42.75" customHeight="1">
      <c r="A6" s="1310" t="s">
        <v>229</v>
      </c>
      <c r="B6" s="1311"/>
      <c r="C6" s="1311"/>
      <c r="D6" s="1311"/>
      <c r="E6" s="1311"/>
      <c r="F6" s="1304" t="s">
        <v>230</v>
      </c>
      <c r="G6" s="1304" t="s">
        <v>502</v>
      </c>
      <c r="H6" s="1304" t="s">
        <v>503</v>
      </c>
      <c r="I6" s="1304" t="s">
        <v>1510</v>
      </c>
      <c r="J6" s="1314" t="s">
        <v>504</v>
      </c>
      <c r="K6" s="1315"/>
      <c r="L6" s="1304" t="s">
        <v>505</v>
      </c>
      <c r="M6" s="1304" t="s">
        <v>506</v>
      </c>
      <c r="N6" s="1304" t="s">
        <v>232</v>
      </c>
      <c r="O6" s="1304" t="s">
        <v>233</v>
      </c>
      <c r="P6" s="1306" t="s">
        <v>507</v>
      </c>
    </row>
    <row r="7" spans="1:16" s="69" customFormat="1" ht="44.25" customHeight="1">
      <c r="A7" s="1312"/>
      <c r="B7" s="1313"/>
      <c r="C7" s="1313"/>
      <c r="D7" s="1313"/>
      <c r="E7" s="1313"/>
      <c r="F7" s="1305"/>
      <c r="G7" s="1305"/>
      <c r="H7" s="1305"/>
      <c r="I7" s="1305"/>
      <c r="J7" s="189" t="s">
        <v>508</v>
      </c>
      <c r="K7" s="189" t="s">
        <v>509</v>
      </c>
      <c r="L7" s="1305"/>
      <c r="M7" s="1305"/>
      <c r="N7" s="1305"/>
      <c r="O7" s="1305"/>
      <c r="P7" s="1306"/>
    </row>
    <row r="8" spans="1:16" ht="11.25" customHeight="1">
      <c r="A8" s="1307" t="s">
        <v>234</v>
      </c>
      <c r="B8" s="1308"/>
      <c r="C8" s="1308"/>
      <c r="D8" s="1308"/>
      <c r="E8" s="1308"/>
      <c r="F8" s="70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>
        <v>8</v>
      </c>
      <c r="M8" s="71">
        <v>9</v>
      </c>
      <c r="N8" s="71">
        <v>10</v>
      </c>
      <c r="O8" s="71">
        <v>11</v>
      </c>
      <c r="P8" s="71">
        <v>12</v>
      </c>
    </row>
    <row r="9" spans="1:16" ht="12">
      <c r="A9" s="72"/>
      <c r="B9" s="72"/>
      <c r="C9" s="72"/>
      <c r="D9" s="72"/>
      <c r="E9" s="72"/>
      <c r="F9" s="50" t="s">
        <v>235</v>
      </c>
      <c r="G9" s="51">
        <v>8149741436</v>
      </c>
      <c r="H9" s="51">
        <v>7485163809</v>
      </c>
      <c r="I9" s="51">
        <v>7485163809</v>
      </c>
      <c r="J9" s="51">
        <v>7485163809</v>
      </c>
      <c r="K9" s="51">
        <v>7485163809</v>
      </c>
      <c r="L9" s="51">
        <v>7474616075.9884005</v>
      </c>
      <c r="M9" s="51">
        <f>L9-N9</f>
        <v>5457887.5264005661</v>
      </c>
      <c r="N9" s="51">
        <v>7469158188.4619999</v>
      </c>
      <c r="O9" s="73">
        <f>IF(J9=0,0,N9/J9*100)</f>
        <v>99.786168733959371</v>
      </c>
      <c r="P9" s="73">
        <f>IF(I9=0,0,N9/I9*100)</f>
        <v>99.786168733959371</v>
      </c>
    </row>
    <row r="10" spans="1:16" ht="12">
      <c r="A10" s="72" t="s">
        <v>236</v>
      </c>
      <c r="B10" s="72"/>
      <c r="C10" s="72"/>
      <c r="D10" s="72"/>
      <c r="E10" s="72"/>
      <c r="F10" s="50" t="s">
        <v>237</v>
      </c>
      <c r="G10" s="51">
        <v>700672346</v>
      </c>
      <c r="H10" s="51">
        <v>656923913</v>
      </c>
      <c r="I10" s="51">
        <v>658299220</v>
      </c>
      <c r="J10" s="51">
        <v>658299220</v>
      </c>
      <c r="K10" s="51">
        <v>658299220</v>
      </c>
      <c r="L10" s="51">
        <v>657779829.58659995</v>
      </c>
      <c r="M10" s="51">
        <f t="shared" ref="M10:M30" si="0">L10-N10</f>
        <v>243928.37209999561</v>
      </c>
      <c r="N10" s="51">
        <v>657535901.21449995</v>
      </c>
      <c r="O10" s="73">
        <f t="shared" ref="O10:O61" si="1">IF(J10=0,0,N10/J10*100)</f>
        <v>99.884046834279999</v>
      </c>
      <c r="P10" s="73">
        <f t="shared" ref="P10:P61" si="2">IF(I10=0,0,N10/I10*100)</f>
        <v>99.884046834279999</v>
      </c>
    </row>
    <row r="11" spans="1:16">
      <c r="A11" s="74"/>
      <c r="B11" s="74" t="s">
        <v>238</v>
      </c>
      <c r="C11" s="74"/>
      <c r="D11" s="74"/>
      <c r="E11" s="74"/>
      <c r="F11" s="52" t="s">
        <v>239</v>
      </c>
      <c r="G11" s="53">
        <v>4901726</v>
      </c>
      <c r="H11" s="53">
        <v>4784648</v>
      </c>
      <c r="I11" s="53">
        <v>4784648</v>
      </c>
      <c r="J11" s="53">
        <v>4784648</v>
      </c>
      <c r="K11" s="53">
        <v>4784648</v>
      </c>
      <c r="L11" s="53">
        <v>4784645.9693999998</v>
      </c>
      <c r="M11" s="53">
        <f t="shared" si="0"/>
        <v>0</v>
      </c>
      <c r="N11" s="53">
        <v>4784645.9693999998</v>
      </c>
      <c r="O11" s="75">
        <f t="shared" si="1"/>
        <v>99.999957560096377</v>
      </c>
      <c r="P11" s="75">
        <f t="shared" si="2"/>
        <v>99.999957560096377</v>
      </c>
    </row>
    <row r="12" spans="1:16">
      <c r="A12" s="76"/>
      <c r="B12" s="76"/>
      <c r="C12" s="76" t="s">
        <v>240</v>
      </c>
      <c r="D12" s="76"/>
      <c r="E12" s="76"/>
      <c r="F12" s="54" t="s">
        <v>1</v>
      </c>
      <c r="G12" s="55">
        <v>4901726</v>
      </c>
      <c r="H12" s="55">
        <v>4784648</v>
      </c>
      <c r="I12" s="55">
        <v>4784648</v>
      </c>
      <c r="J12" s="55">
        <v>4784648</v>
      </c>
      <c r="K12" s="55">
        <v>4784648</v>
      </c>
      <c r="L12" s="55">
        <v>4784645.9693999998</v>
      </c>
      <c r="M12" s="55">
        <f t="shared" si="0"/>
        <v>0</v>
      </c>
      <c r="N12" s="55">
        <v>4784645.9693999998</v>
      </c>
      <c r="O12" s="77">
        <f t="shared" si="1"/>
        <v>99.999957560096377</v>
      </c>
      <c r="P12" s="77">
        <f t="shared" si="2"/>
        <v>99.999957560096377</v>
      </c>
    </row>
    <row r="13" spans="1:16">
      <c r="D13" s="78" t="s">
        <v>241</v>
      </c>
      <c r="F13" s="79" t="s">
        <v>242</v>
      </c>
      <c r="G13" s="56">
        <v>4901726</v>
      </c>
      <c r="H13" s="56">
        <v>4784648</v>
      </c>
      <c r="I13" s="56">
        <v>4784648</v>
      </c>
      <c r="J13" s="56">
        <v>4784648</v>
      </c>
      <c r="K13" s="56">
        <v>4784648</v>
      </c>
      <c r="L13" s="56">
        <v>4784645.9693999998</v>
      </c>
      <c r="M13" s="56">
        <f t="shared" si="0"/>
        <v>0</v>
      </c>
      <c r="N13" s="56">
        <v>4784645.9693999998</v>
      </c>
      <c r="O13" s="80">
        <f t="shared" si="1"/>
        <v>99.999957560096377</v>
      </c>
      <c r="P13" s="80">
        <f t="shared" si="2"/>
        <v>99.999957560096377</v>
      </c>
    </row>
    <row r="14" spans="1:16">
      <c r="A14" s="74"/>
      <c r="B14" s="74" t="s">
        <v>243</v>
      </c>
      <c r="C14" s="74"/>
      <c r="D14" s="74"/>
      <c r="E14" s="74"/>
      <c r="F14" s="52" t="s">
        <v>244</v>
      </c>
      <c r="G14" s="53">
        <v>617074406</v>
      </c>
      <c r="H14" s="53">
        <v>590369531</v>
      </c>
      <c r="I14" s="53">
        <v>590369531</v>
      </c>
      <c r="J14" s="53">
        <v>590369531</v>
      </c>
      <c r="K14" s="53">
        <v>590369531</v>
      </c>
      <c r="L14" s="53">
        <v>590307156.64040005</v>
      </c>
      <c r="M14" s="53">
        <f t="shared" si="0"/>
        <v>243295.85360002518</v>
      </c>
      <c r="N14" s="53">
        <v>590063860.78680003</v>
      </c>
      <c r="O14" s="75">
        <f t="shared" si="1"/>
        <v>99.948223917876959</v>
      </c>
      <c r="P14" s="75">
        <f t="shared" si="2"/>
        <v>99.948223917876959</v>
      </c>
    </row>
    <row r="15" spans="1:16">
      <c r="A15" s="76"/>
      <c r="B15" s="76"/>
      <c r="C15" s="76" t="s">
        <v>245</v>
      </c>
      <c r="D15" s="76"/>
      <c r="E15" s="76"/>
      <c r="F15" s="54" t="s">
        <v>0</v>
      </c>
      <c r="G15" s="55">
        <v>0</v>
      </c>
      <c r="H15" s="55">
        <v>0</v>
      </c>
      <c r="I15" s="55">
        <v>894960</v>
      </c>
      <c r="J15" s="55">
        <v>894960</v>
      </c>
      <c r="K15" s="55">
        <v>894960</v>
      </c>
      <c r="L15" s="55">
        <v>894958.96329999994</v>
      </c>
      <c r="M15" s="55">
        <f t="shared" si="0"/>
        <v>28196.000999999931</v>
      </c>
      <c r="N15" s="55">
        <v>866762.96230000001</v>
      </c>
      <c r="O15" s="77">
        <f t="shared" si="1"/>
        <v>96.8493521833378</v>
      </c>
      <c r="P15" s="77">
        <f t="shared" si="2"/>
        <v>96.8493521833378</v>
      </c>
    </row>
    <row r="16" spans="1:16" ht="21">
      <c r="D16" s="78" t="s">
        <v>246</v>
      </c>
      <c r="F16" s="79" t="s">
        <v>247</v>
      </c>
      <c r="G16" s="56">
        <v>0</v>
      </c>
      <c r="H16" s="56">
        <v>0</v>
      </c>
      <c r="I16" s="56">
        <v>894960</v>
      </c>
      <c r="J16" s="56">
        <v>894960</v>
      </c>
      <c r="K16" s="56">
        <v>894960</v>
      </c>
      <c r="L16" s="56">
        <v>894958.96329999994</v>
      </c>
      <c r="M16" s="56">
        <f t="shared" si="0"/>
        <v>28196.000999999931</v>
      </c>
      <c r="N16" s="56">
        <v>866762.96230000001</v>
      </c>
      <c r="O16" s="80">
        <f t="shared" si="1"/>
        <v>96.8493521833378</v>
      </c>
      <c r="P16" s="80">
        <f t="shared" si="2"/>
        <v>96.8493521833378</v>
      </c>
    </row>
    <row r="17" spans="1:16">
      <c r="A17" s="76"/>
      <c r="B17" s="76"/>
      <c r="C17" s="76" t="s">
        <v>248</v>
      </c>
      <c r="D17" s="76"/>
      <c r="E17" s="76"/>
      <c r="F17" s="54" t="s">
        <v>2</v>
      </c>
      <c r="G17" s="55">
        <v>553284</v>
      </c>
      <c r="H17" s="55">
        <v>509742</v>
      </c>
      <c r="I17" s="55">
        <v>509742</v>
      </c>
      <c r="J17" s="55">
        <v>509742</v>
      </c>
      <c r="K17" s="55">
        <v>509742</v>
      </c>
      <c r="L17" s="55">
        <v>509741.72810000001</v>
      </c>
      <c r="M17" s="55">
        <f t="shared" si="0"/>
        <v>0</v>
      </c>
      <c r="N17" s="55">
        <v>509741.72810000001</v>
      </c>
      <c r="O17" s="77">
        <f t="shared" si="1"/>
        <v>99.999946659290387</v>
      </c>
      <c r="P17" s="77">
        <f t="shared" si="2"/>
        <v>99.999946659290387</v>
      </c>
    </row>
    <row r="18" spans="1:16">
      <c r="D18" s="78" t="s">
        <v>249</v>
      </c>
      <c r="F18" s="79" t="s">
        <v>250</v>
      </c>
      <c r="G18" s="56">
        <v>553284</v>
      </c>
      <c r="H18" s="56">
        <v>509742</v>
      </c>
      <c r="I18" s="56">
        <v>509742</v>
      </c>
      <c r="J18" s="56">
        <v>509742</v>
      </c>
      <c r="K18" s="56">
        <v>509742</v>
      </c>
      <c r="L18" s="56">
        <v>509741.72810000001</v>
      </c>
      <c r="M18" s="56">
        <f t="shared" si="0"/>
        <v>0</v>
      </c>
      <c r="N18" s="56">
        <v>509741.72810000001</v>
      </c>
      <c r="O18" s="80">
        <f t="shared" si="1"/>
        <v>99.999946659290387</v>
      </c>
      <c r="P18" s="80">
        <f t="shared" si="2"/>
        <v>99.999946659290387</v>
      </c>
    </row>
    <row r="19" spans="1:16" ht="22.5">
      <c r="A19" s="76"/>
      <c r="B19" s="76"/>
      <c r="C19" s="76" t="s">
        <v>251</v>
      </c>
      <c r="D19" s="76"/>
      <c r="E19" s="76"/>
      <c r="F19" s="54" t="s">
        <v>252</v>
      </c>
      <c r="G19" s="55">
        <v>575725599</v>
      </c>
      <c r="H19" s="55">
        <v>552861746</v>
      </c>
      <c r="I19" s="55">
        <v>551842870</v>
      </c>
      <c r="J19" s="55">
        <v>551842870</v>
      </c>
      <c r="K19" s="55">
        <v>551842870</v>
      </c>
      <c r="L19" s="55">
        <v>551780499.33959997</v>
      </c>
      <c r="M19" s="55">
        <f t="shared" si="0"/>
        <v>215059.65249991417</v>
      </c>
      <c r="N19" s="55">
        <v>551565439.68710005</v>
      </c>
      <c r="O19" s="77">
        <f t="shared" si="1"/>
        <v>99.949726574722263</v>
      </c>
      <c r="P19" s="77">
        <f t="shared" si="2"/>
        <v>99.949726574722263</v>
      </c>
    </row>
    <row r="20" spans="1:16">
      <c r="D20" s="78" t="s">
        <v>253</v>
      </c>
      <c r="F20" s="79" t="s">
        <v>254</v>
      </c>
      <c r="G20" s="56">
        <v>42941</v>
      </c>
      <c r="H20" s="56">
        <v>37250</v>
      </c>
      <c r="I20" s="56">
        <v>37250</v>
      </c>
      <c r="J20" s="56">
        <v>37250</v>
      </c>
      <c r="K20" s="56">
        <v>37250</v>
      </c>
      <c r="L20" s="56">
        <v>37249.874000000003</v>
      </c>
      <c r="M20" s="56">
        <f t="shared" si="0"/>
        <v>1.0000000038417056E-3</v>
      </c>
      <c r="N20" s="56">
        <v>37249.873</v>
      </c>
      <c r="O20" s="80">
        <f t="shared" si="1"/>
        <v>99.999659060402678</v>
      </c>
      <c r="P20" s="80">
        <f t="shared" si="2"/>
        <v>99.999659060402678</v>
      </c>
    </row>
    <row r="21" spans="1:16" ht="31.5">
      <c r="D21" s="78" t="s">
        <v>255</v>
      </c>
      <c r="F21" s="79" t="s">
        <v>256</v>
      </c>
      <c r="G21" s="56">
        <v>326407949</v>
      </c>
      <c r="H21" s="56">
        <v>311233193</v>
      </c>
      <c r="I21" s="56">
        <v>311233193</v>
      </c>
      <c r="J21" s="56">
        <v>311233193</v>
      </c>
      <c r="K21" s="56">
        <v>311233193</v>
      </c>
      <c r="L21" s="56">
        <v>311233193</v>
      </c>
      <c r="M21" s="56">
        <f t="shared" si="0"/>
        <v>0</v>
      </c>
      <c r="N21" s="56">
        <v>311233193</v>
      </c>
      <c r="O21" s="80">
        <f t="shared" si="1"/>
        <v>100</v>
      </c>
      <c r="P21" s="80">
        <f t="shared" si="2"/>
        <v>100</v>
      </c>
    </row>
    <row r="22" spans="1:16" ht="21">
      <c r="E22" s="78" t="s">
        <v>257</v>
      </c>
      <c r="F22" s="79" t="s">
        <v>258</v>
      </c>
      <c r="G22" s="56">
        <v>0</v>
      </c>
      <c r="H22" s="56">
        <v>0</v>
      </c>
      <c r="I22" s="56">
        <v>261103282</v>
      </c>
      <c r="J22" s="56">
        <v>261103282</v>
      </c>
      <c r="K22" s="56">
        <v>261103282</v>
      </c>
      <c r="L22" s="56">
        <v>261103282</v>
      </c>
      <c r="M22" s="56">
        <f t="shared" si="0"/>
        <v>0</v>
      </c>
      <c r="N22" s="56">
        <v>261103282</v>
      </c>
      <c r="O22" s="80">
        <f t="shared" si="1"/>
        <v>100</v>
      </c>
      <c r="P22" s="80">
        <f t="shared" si="2"/>
        <v>100</v>
      </c>
    </row>
    <row r="23" spans="1:16">
      <c r="E23" s="78" t="s">
        <v>259</v>
      </c>
      <c r="F23" s="79" t="s">
        <v>260</v>
      </c>
      <c r="G23" s="56">
        <v>0</v>
      </c>
      <c r="H23" s="56">
        <v>0</v>
      </c>
      <c r="I23" s="56">
        <v>50129911</v>
      </c>
      <c r="J23" s="56">
        <v>50129911</v>
      </c>
      <c r="K23" s="56">
        <v>50129911</v>
      </c>
      <c r="L23" s="56">
        <v>50129911</v>
      </c>
      <c r="M23" s="56">
        <f t="shared" si="0"/>
        <v>0</v>
      </c>
      <c r="N23" s="56">
        <v>50129911</v>
      </c>
      <c r="O23" s="80">
        <f t="shared" si="1"/>
        <v>100</v>
      </c>
      <c r="P23" s="80">
        <f t="shared" si="2"/>
        <v>100</v>
      </c>
    </row>
    <row r="24" spans="1:16" ht="21">
      <c r="D24" s="78" t="s">
        <v>261</v>
      </c>
      <c r="F24" s="79" t="s">
        <v>262</v>
      </c>
      <c r="G24" s="56">
        <v>247622359</v>
      </c>
      <c r="H24" s="56">
        <v>240475761</v>
      </c>
      <c r="I24" s="56">
        <v>240475761</v>
      </c>
      <c r="J24" s="56">
        <v>240475761</v>
      </c>
      <c r="K24" s="56">
        <v>240475761</v>
      </c>
      <c r="L24" s="56">
        <v>240413391.204</v>
      </c>
      <c r="M24" s="56">
        <f t="shared" si="0"/>
        <v>215059.65149998665</v>
      </c>
      <c r="N24" s="56">
        <v>240198331.55250001</v>
      </c>
      <c r="O24" s="80">
        <f t="shared" si="1"/>
        <v>99.884633093020966</v>
      </c>
      <c r="P24" s="80">
        <f t="shared" si="2"/>
        <v>99.884633093020966</v>
      </c>
    </row>
    <row r="25" spans="1:16">
      <c r="E25" s="78" t="s">
        <v>257</v>
      </c>
      <c r="F25" s="79" t="s">
        <v>263</v>
      </c>
      <c r="G25" s="56">
        <v>0</v>
      </c>
      <c r="H25" s="56">
        <v>0</v>
      </c>
      <c r="I25" s="56">
        <v>176908487</v>
      </c>
      <c r="J25" s="56">
        <v>176908487</v>
      </c>
      <c r="K25" s="56">
        <v>176908487</v>
      </c>
      <c r="L25" s="56">
        <v>176908484.61300001</v>
      </c>
      <c r="M25" s="56">
        <f t="shared" si="0"/>
        <v>4.0000677108764648E-4</v>
      </c>
      <c r="N25" s="56">
        <v>176908484.6126</v>
      </c>
      <c r="O25" s="80">
        <f t="shared" si="1"/>
        <v>99.999998650488706</v>
      </c>
      <c r="P25" s="80">
        <f t="shared" si="2"/>
        <v>99.999998650488706</v>
      </c>
    </row>
    <row r="26" spans="1:16">
      <c r="E26" s="78" t="s">
        <v>259</v>
      </c>
      <c r="F26" s="79" t="s">
        <v>264</v>
      </c>
      <c r="G26" s="56">
        <v>0</v>
      </c>
      <c r="H26" s="56">
        <v>0</v>
      </c>
      <c r="I26" s="56">
        <v>51211249</v>
      </c>
      <c r="J26" s="56">
        <v>51211249</v>
      </c>
      <c r="K26" s="56">
        <v>51211249</v>
      </c>
      <c r="L26" s="56">
        <v>51210409.013899997</v>
      </c>
      <c r="M26" s="56">
        <f t="shared" si="0"/>
        <v>215059.65109999478</v>
      </c>
      <c r="N26" s="56">
        <v>50995349.362800002</v>
      </c>
      <c r="O26" s="80">
        <f t="shared" si="1"/>
        <v>99.578413646579875</v>
      </c>
      <c r="P26" s="80">
        <f t="shared" si="2"/>
        <v>99.578413646579875</v>
      </c>
    </row>
    <row r="27" spans="1:16">
      <c r="E27" s="78" t="s">
        <v>265</v>
      </c>
      <c r="F27" s="79" t="s">
        <v>266</v>
      </c>
      <c r="G27" s="56">
        <v>0</v>
      </c>
      <c r="H27" s="56">
        <v>0</v>
      </c>
      <c r="I27" s="56">
        <v>5441435</v>
      </c>
      <c r="J27" s="56">
        <v>5441435</v>
      </c>
      <c r="K27" s="56">
        <v>5441435</v>
      </c>
      <c r="L27" s="56">
        <v>5441435</v>
      </c>
      <c r="M27" s="56">
        <f t="shared" si="0"/>
        <v>0</v>
      </c>
      <c r="N27" s="56">
        <v>5441435</v>
      </c>
      <c r="O27" s="80">
        <f t="shared" si="1"/>
        <v>100</v>
      </c>
      <c r="P27" s="80">
        <f t="shared" si="2"/>
        <v>100</v>
      </c>
    </row>
    <row r="28" spans="1:16">
      <c r="E28" s="78" t="s">
        <v>267</v>
      </c>
      <c r="F28" s="79" t="s">
        <v>268</v>
      </c>
      <c r="G28" s="56">
        <v>0</v>
      </c>
      <c r="H28" s="56">
        <v>0</v>
      </c>
      <c r="I28" s="56">
        <v>4089283</v>
      </c>
      <c r="J28" s="56">
        <v>4089283</v>
      </c>
      <c r="K28" s="56">
        <v>4089283</v>
      </c>
      <c r="L28" s="56">
        <v>4089283</v>
      </c>
      <c r="M28" s="56">
        <f t="shared" si="0"/>
        <v>0</v>
      </c>
      <c r="N28" s="56">
        <v>4089283</v>
      </c>
      <c r="O28" s="80">
        <f t="shared" si="1"/>
        <v>100</v>
      </c>
      <c r="P28" s="80">
        <f t="shared" si="2"/>
        <v>100</v>
      </c>
    </row>
    <row r="29" spans="1:16">
      <c r="E29" s="78" t="s">
        <v>269</v>
      </c>
      <c r="F29" s="79" t="s">
        <v>270</v>
      </c>
      <c r="G29" s="56">
        <v>0</v>
      </c>
      <c r="H29" s="56">
        <v>0</v>
      </c>
      <c r="I29" s="56">
        <v>170217</v>
      </c>
      <c r="J29" s="56">
        <v>170217</v>
      </c>
      <c r="K29" s="56">
        <v>170217</v>
      </c>
      <c r="L29" s="56">
        <v>170216.96400000001</v>
      </c>
      <c r="M29" s="56">
        <f t="shared" si="0"/>
        <v>0</v>
      </c>
      <c r="N29" s="56">
        <v>170216.96400000001</v>
      </c>
      <c r="O29" s="80">
        <f t="shared" si="1"/>
        <v>99.999978850526091</v>
      </c>
      <c r="P29" s="80">
        <f t="shared" si="2"/>
        <v>99.999978850526091</v>
      </c>
    </row>
    <row r="30" spans="1:16">
      <c r="E30" s="78" t="s">
        <v>271</v>
      </c>
      <c r="F30" s="79" t="s">
        <v>272</v>
      </c>
      <c r="G30" s="56">
        <v>0</v>
      </c>
      <c r="H30" s="56">
        <v>0</v>
      </c>
      <c r="I30" s="56">
        <v>2655090</v>
      </c>
      <c r="J30" s="56">
        <v>2655090</v>
      </c>
      <c r="K30" s="56">
        <v>2655090</v>
      </c>
      <c r="L30" s="56">
        <v>2593562.6132700001</v>
      </c>
      <c r="M30" s="56">
        <f t="shared" si="0"/>
        <v>0</v>
      </c>
      <c r="N30" s="56">
        <v>2593562.6132700001</v>
      </c>
      <c r="O30" s="80">
        <f t="shared" si="1"/>
        <v>97.682662857756242</v>
      </c>
      <c r="P30" s="80">
        <f t="shared" si="2"/>
        <v>97.682662857756242</v>
      </c>
    </row>
    <row r="31" spans="1:16" ht="21">
      <c r="D31" s="78" t="s">
        <v>326</v>
      </c>
      <c r="F31" s="79" t="s">
        <v>510</v>
      </c>
      <c r="G31" s="56">
        <v>1652350</v>
      </c>
      <c r="H31" s="56">
        <v>1115542</v>
      </c>
      <c r="I31" s="56">
        <v>0</v>
      </c>
      <c r="J31" s="56">
        <v>0</v>
      </c>
      <c r="K31" s="56"/>
      <c r="L31" s="56"/>
      <c r="M31" s="56"/>
      <c r="N31" s="56">
        <v>0</v>
      </c>
      <c r="O31" s="80">
        <f t="shared" si="1"/>
        <v>0</v>
      </c>
      <c r="P31" s="80">
        <f t="shared" si="2"/>
        <v>0</v>
      </c>
    </row>
    <row r="32" spans="1:16" ht="21">
      <c r="D32" s="78" t="s">
        <v>246</v>
      </c>
      <c r="F32" s="79" t="s">
        <v>247</v>
      </c>
      <c r="G32" s="56">
        <v>0</v>
      </c>
      <c r="H32" s="56">
        <v>0</v>
      </c>
      <c r="I32" s="56">
        <v>63942</v>
      </c>
      <c r="J32" s="56">
        <v>63942</v>
      </c>
      <c r="K32" s="56">
        <v>63942</v>
      </c>
      <c r="L32" s="56">
        <v>63941.261599999998</v>
      </c>
      <c r="M32" s="56">
        <f t="shared" ref="M32:M47" si="3">L32-N32</f>
        <v>0</v>
      </c>
      <c r="N32" s="56">
        <v>63941.261599999998</v>
      </c>
      <c r="O32" s="80">
        <f t="shared" si="1"/>
        <v>99.998845203465635</v>
      </c>
      <c r="P32" s="80">
        <f t="shared" si="2"/>
        <v>99.998845203465635</v>
      </c>
    </row>
    <row r="33" spans="1:16" ht="52.5">
      <c r="D33" s="78" t="s">
        <v>273</v>
      </c>
      <c r="F33" s="79" t="s">
        <v>274</v>
      </c>
      <c r="G33" s="56">
        <v>0</v>
      </c>
      <c r="H33" s="56">
        <v>0</v>
      </c>
      <c r="I33" s="56">
        <v>32724</v>
      </c>
      <c r="J33" s="56">
        <v>32724</v>
      </c>
      <c r="K33" s="56">
        <v>32724</v>
      </c>
      <c r="L33" s="56">
        <v>32724</v>
      </c>
      <c r="M33" s="56">
        <f t="shared" si="3"/>
        <v>0</v>
      </c>
      <c r="N33" s="56">
        <v>32724</v>
      </c>
      <c r="O33" s="80">
        <f t="shared" si="1"/>
        <v>100</v>
      </c>
      <c r="P33" s="80">
        <f t="shared" si="2"/>
        <v>100</v>
      </c>
    </row>
    <row r="34" spans="1:16">
      <c r="A34" s="76"/>
      <c r="B34" s="76"/>
      <c r="C34" s="76" t="s">
        <v>275</v>
      </c>
      <c r="D34" s="76"/>
      <c r="E34" s="76"/>
      <c r="F34" s="54" t="s">
        <v>276</v>
      </c>
      <c r="G34" s="55">
        <v>0</v>
      </c>
      <c r="H34" s="55">
        <v>0</v>
      </c>
      <c r="I34" s="55">
        <v>57196</v>
      </c>
      <c r="J34" s="55">
        <v>57196</v>
      </c>
      <c r="K34" s="55">
        <v>57196</v>
      </c>
      <c r="L34" s="55">
        <v>57194.870900000002</v>
      </c>
      <c r="M34" s="55">
        <f t="shared" si="3"/>
        <v>0</v>
      </c>
      <c r="N34" s="55">
        <v>57194.870900000002</v>
      </c>
      <c r="O34" s="77">
        <f t="shared" si="1"/>
        <v>99.998025910902868</v>
      </c>
      <c r="P34" s="77">
        <f t="shared" si="2"/>
        <v>99.998025910902868</v>
      </c>
    </row>
    <row r="35" spans="1:16" ht="21">
      <c r="D35" s="78" t="s">
        <v>246</v>
      </c>
      <c r="F35" s="79" t="s">
        <v>247</v>
      </c>
      <c r="G35" s="56">
        <v>0</v>
      </c>
      <c r="H35" s="56">
        <v>0</v>
      </c>
      <c r="I35" s="56">
        <v>57196</v>
      </c>
      <c r="J35" s="56">
        <v>57196</v>
      </c>
      <c r="K35" s="56">
        <v>57196</v>
      </c>
      <c r="L35" s="56">
        <v>57194.870900000002</v>
      </c>
      <c r="M35" s="56">
        <f t="shared" si="3"/>
        <v>0</v>
      </c>
      <c r="N35" s="56">
        <v>57194.870900000002</v>
      </c>
      <c r="O35" s="80">
        <f t="shared" si="1"/>
        <v>99.998025910902868</v>
      </c>
      <c r="P35" s="80">
        <f t="shared" si="2"/>
        <v>99.998025910902868</v>
      </c>
    </row>
    <row r="36" spans="1:16">
      <c r="A36" s="76"/>
      <c r="B36" s="76"/>
      <c r="C36" s="76" t="s">
        <v>572</v>
      </c>
      <c r="D36" s="76"/>
      <c r="E36" s="76"/>
      <c r="F36" s="54" t="s">
        <v>573</v>
      </c>
      <c r="G36" s="55">
        <v>0</v>
      </c>
      <c r="H36" s="55">
        <v>0</v>
      </c>
      <c r="I36" s="55">
        <v>66720</v>
      </c>
      <c r="J36" s="55">
        <v>66720</v>
      </c>
      <c r="K36" s="55">
        <v>66720</v>
      </c>
      <c r="L36" s="55">
        <v>66720</v>
      </c>
      <c r="M36" s="55">
        <f t="shared" si="3"/>
        <v>0</v>
      </c>
      <c r="N36" s="55">
        <v>66720</v>
      </c>
      <c r="O36" s="77">
        <f t="shared" si="1"/>
        <v>100</v>
      </c>
      <c r="P36" s="77">
        <f t="shared" si="2"/>
        <v>100</v>
      </c>
    </row>
    <row r="37" spans="1:16" ht="21">
      <c r="D37" s="78" t="s">
        <v>246</v>
      </c>
      <c r="F37" s="79" t="s">
        <v>247</v>
      </c>
      <c r="G37" s="56">
        <v>0</v>
      </c>
      <c r="H37" s="56">
        <v>0</v>
      </c>
      <c r="I37" s="56">
        <v>66720</v>
      </c>
      <c r="J37" s="56">
        <v>66720</v>
      </c>
      <c r="K37" s="56">
        <v>66720</v>
      </c>
      <c r="L37" s="56">
        <v>66720</v>
      </c>
      <c r="M37" s="56">
        <f t="shared" si="3"/>
        <v>0</v>
      </c>
      <c r="N37" s="56">
        <v>66720</v>
      </c>
      <c r="O37" s="80">
        <f t="shared" si="1"/>
        <v>100</v>
      </c>
      <c r="P37" s="80">
        <f t="shared" si="2"/>
        <v>100</v>
      </c>
    </row>
    <row r="38" spans="1:16">
      <c r="A38" s="76"/>
      <c r="B38" s="76"/>
      <c r="C38" s="76" t="s">
        <v>277</v>
      </c>
      <c r="D38" s="76"/>
      <c r="E38" s="76"/>
      <c r="F38" s="54" t="s">
        <v>278</v>
      </c>
      <c r="G38" s="55">
        <v>31135101</v>
      </c>
      <c r="H38" s="55">
        <v>27513770</v>
      </c>
      <c r="I38" s="55">
        <v>27513770</v>
      </c>
      <c r="J38" s="55">
        <v>27513770</v>
      </c>
      <c r="K38" s="55">
        <v>27513770</v>
      </c>
      <c r="L38" s="55">
        <v>27513768.738600001</v>
      </c>
      <c r="M38" s="55">
        <f t="shared" si="3"/>
        <v>6.289999932050705E-2</v>
      </c>
      <c r="N38" s="55">
        <v>27513768.675700001</v>
      </c>
      <c r="O38" s="77">
        <f t="shared" si="1"/>
        <v>99.999995186773759</v>
      </c>
      <c r="P38" s="77">
        <f t="shared" si="2"/>
        <v>99.999995186773759</v>
      </c>
    </row>
    <row r="39" spans="1:16">
      <c r="D39" s="78" t="s">
        <v>279</v>
      </c>
      <c r="F39" s="79" t="s">
        <v>280</v>
      </c>
      <c r="G39" s="56">
        <v>12280229</v>
      </c>
      <c r="H39" s="56">
        <v>11438858</v>
      </c>
      <c r="I39" s="56">
        <v>11438858</v>
      </c>
      <c r="J39" s="56">
        <v>11438858</v>
      </c>
      <c r="K39" s="56">
        <v>11438858</v>
      </c>
      <c r="L39" s="56">
        <v>11438856.738600001</v>
      </c>
      <c r="M39" s="56">
        <f t="shared" si="3"/>
        <v>6.2900001183152199E-2</v>
      </c>
      <c r="N39" s="56">
        <v>11438856.6757</v>
      </c>
      <c r="O39" s="80">
        <f t="shared" si="1"/>
        <v>99.999988422795354</v>
      </c>
      <c r="P39" s="80">
        <f t="shared" si="2"/>
        <v>99.999988422795354</v>
      </c>
    </row>
    <row r="40" spans="1:16" ht="21">
      <c r="D40" s="78" t="s">
        <v>249</v>
      </c>
      <c r="F40" s="79" t="s">
        <v>281</v>
      </c>
      <c r="G40" s="56">
        <v>18580403</v>
      </c>
      <c r="H40" s="56">
        <v>15800443</v>
      </c>
      <c r="I40" s="56">
        <v>15800443</v>
      </c>
      <c r="J40" s="56">
        <v>15800443</v>
      </c>
      <c r="K40" s="56">
        <v>15800443</v>
      </c>
      <c r="L40" s="56">
        <v>15800443</v>
      </c>
      <c r="M40" s="56">
        <f t="shared" si="3"/>
        <v>0</v>
      </c>
      <c r="N40" s="56">
        <v>15800443</v>
      </c>
      <c r="O40" s="80">
        <f t="shared" si="1"/>
        <v>100</v>
      </c>
      <c r="P40" s="80">
        <f t="shared" si="2"/>
        <v>100</v>
      </c>
    </row>
    <row r="41" spans="1:16" ht="21">
      <c r="D41" s="78" t="s">
        <v>1486</v>
      </c>
      <c r="F41" s="79" t="s">
        <v>1487</v>
      </c>
      <c r="G41" s="56">
        <v>274469</v>
      </c>
      <c r="H41" s="56">
        <v>274469</v>
      </c>
      <c r="I41" s="56">
        <v>274469</v>
      </c>
      <c r="J41" s="56">
        <v>274469</v>
      </c>
      <c r="K41" s="56">
        <v>274469</v>
      </c>
      <c r="L41" s="56">
        <v>274469</v>
      </c>
      <c r="M41" s="56">
        <f t="shared" si="3"/>
        <v>0</v>
      </c>
      <c r="N41" s="56">
        <v>274469</v>
      </c>
      <c r="O41" s="80">
        <f t="shared" si="1"/>
        <v>100</v>
      </c>
      <c r="P41" s="80">
        <f t="shared" si="2"/>
        <v>100</v>
      </c>
    </row>
    <row r="42" spans="1:16">
      <c r="A42" s="76"/>
      <c r="B42" s="76"/>
      <c r="C42" s="76" t="s">
        <v>282</v>
      </c>
      <c r="D42" s="76"/>
      <c r="E42" s="76"/>
      <c r="F42" s="54" t="s">
        <v>3</v>
      </c>
      <c r="G42" s="55">
        <v>9660422</v>
      </c>
      <c r="H42" s="55">
        <v>9484273</v>
      </c>
      <c r="I42" s="55">
        <v>9484273</v>
      </c>
      <c r="J42" s="55">
        <v>9484273</v>
      </c>
      <c r="K42" s="55">
        <v>9484273</v>
      </c>
      <c r="L42" s="55">
        <v>9484273</v>
      </c>
      <c r="M42" s="55">
        <f t="shared" si="3"/>
        <v>40.137299999594688</v>
      </c>
      <c r="N42" s="55">
        <v>9484232.8627000004</v>
      </c>
      <c r="O42" s="77">
        <f t="shared" si="1"/>
        <v>99.999576801511296</v>
      </c>
      <c r="P42" s="77">
        <f t="shared" si="2"/>
        <v>99.999576801511296</v>
      </c>
    </row>
    <row r="43" spans="1:16">
      <c r="D43" s="78" t="s">
        <v>283</v>
      </c>
      <c r="F43" s="79" t="s">
        <v>284</v>
      </c>
      <c r="G43" s="56">
        <v>206461</v>
      </c>
      <c r="H43" s="56">
        <v>196114</v>
      </c>
      <c r="I43" s="56">
        <v>196114</v>
      </c>
      <c r="J43" s="56">
        <v>196114</v>
      </c>
      <c r="K43" s="56">
        <v>196114</v>
      </c>
      <c r="L43" s="56">
        <v>196114</v>
      </c>
      <c r="M43" s="56">
        <f t="shared" si="3"/>
        <v>0</v>
      </c>
      <c r="N43" s="56">
        <v>196114</v>
      </c>
      <c r="O43" s="80">
        <f t="shared" si="1"/>
        <v>100</v>
      </c>
      <c r="P43" s="80">
        <f t="shared" si="2"/>
        <v>100</v>
      </c>
    </row>
    <row r="44" spans="1:16">
      <c r="D44" s="78" t="s">
        <v>285</v>
      </c>
      <c r="F44" s="79" t="s">
        <v>286</v>
      </c>
      <c r="G44" s="56">
        <v>9453961</v>
      </c>
      <c r="H44" s="56">
        <v>9288159</v>
      </c>
      <c r="I44" s="56">
        <v>9288159</v>
      </c>
      <c r="J44" s="56">
        <v>9288159</v>
      </c>
      <c r="K44" s="56">
        <v>9288159</v>
      </c>
      <c r="L44" s="56">
        <v>9288159</v>
      </c>
      <c r="M44" s="56">
        <f t="shared" si="3"/>
        <v>40.137299999594688</v>
      </c>
      <c r="N44" s="56">
        <v>9288118.8627000004</v>
      </c>
      <c r="O44" s="80">
        <f t="shared" si="1"/>
        <v>99.999567865924774</v>
      </c>
      <c r="P44" s="80">
        <f t="shared" si="2"/>
        <v>99.999567865924774</v>
      </c>
    </row>
    <row r="45" spans="1:16">
      <c r="A45" s="74"/>
      <c r="B45" s="74" t="s">
        <v>287</v>
      </c>
      <c r="C45" s="74"/>
      <c r="D45" s="74"/>
      <c r="E45" s="74"/>
      <c r="F45" s="52" t="s">
        <v>288</v>
      </c>
      <c r="G45" s="53">
        <v>78696214</v>
      </c>
      <c r="H45" s="53">
        <v>61769734</v>
      </c>
      <c r="I45" s="53">
        <v>63145041</v>
      </c>
      <c r="J45" s="53">
        <v>63145041</v>
      </c>
      <c r="K45" s="53">
        <v>63145041</v>
      </c>
      <c r="L45" s="53">
        <v>62688026.976800002</v>
      </c>
      <c r="M45" s="53">
        <f t="shared" si="3"/>
        <v>632.51850000023842</v>
      </c>
      <c r="N45" s="53">
        <v>62687394.458300002</v>
      </c>
      <c r="O45" s="75">
        <f t="shared" si="1"/>
        <v>99.275245475412703</v>
      </c>
      <c r="P45" s="75">
        <f t="shared" si="2"/>
        <v>99.275245475412703</v>
      </c>
    </row>
    <row r="46" spans="1:16">
      <c r="A46" s="76"/>
      <c r="B46" s="76"/>
      <c r="C46" s="76" t="s">
        <v>245</v>
      </c>
      <c r="D46" s="76"/>
      <c r="E46" s="76"/>
      <c r="F46" s="54" t="s">
        <v>0</v>
      </c>
      <c r="G46" s="55">
        <v>5116875</v>
      </c>
      <c r="H46" s="55">
        <v>4151725</v>
      </c>
      <c r="I46" s="55">
        <v>4151725</v>
      </c>
      <c r="J46" s="55">
        <v>4151725</v>
      </c>
      <c r="K46" s="55">
        <v>4151725</v>
      </c>
      <c r="L46" s="55">
        <v>4151633.4237000002</v>
      </c>
      <c r="M46" s="55">
        <f t="shared" si="3"/>
        <v>19.012899999972433</v>
      </c>
      <c r="N46" s="55">
        <v>4151614.4108000002</v>
      </c>
      <c r="O46" s="77">
        <f t="shared" si="1"/>
        <v>99.997336307197614</v>
      </c>
      <c r="P46" s="77">
        <f t="shared" si="2"/>
        <v>99.997336307197614</v>
      </c>
    </row>
    <row r="47" spans="1:16" ht="31.5">
      <c r="D47" s="78" t="s">
        <v>289</v>
      </c>
      <c r="F47" s="79" t="s">
        <v>290</v>
      </c>
      <c r="G47" s="56">
        <v>4521655</v>
      </c>
      <c r="H47" s="56">
        <v>4151725</v>
      </c>
      <c r="I47" s="56">
        <v>4151725</v>
      </c>
      <c r="J47" s="56">
        <v>4151725</v>
      </c>
      <c r="K47" s="56">
        <v>4151725</v>
      </c>
      <c r="L47" s="56">
        <v>4151633.4237000002</v>
      </c>
      <c r="M47" s="56">
        <f t="shared" si="3"/>
        <v>19.012899999972433</v>
      </c>
      <c r="N47" s="56">
        <v>4151614.4108000002</v>
      </c>
      <c r="O47" s="80">
        <f t="shared" si="1"/>
        <v>99.997336307197614</v>
      </c>
      <c r="P47" s="80">
        <f t="shared" si="2"/>
        <v>99.997336307197614</v>
      </c>
    </row>
    <row r="48" spans="1:16" ht="21">
      <c r="D48" s="78" t="s">
        <v>293</v>
      </c>
      <c r="F48" s="79" t="s">
        <v>294</v>
      </c>
      <c r="G48" s="56">
        <v>595220</v>
      </c>
      <c r="H48" s="56">
        <v>0</v>
      </c>
      <c r="I48" s="56">
        <v>0</v>
      </c>
      <c r="J48" s="56">
        <v>0</v>
      </c>
      <c r="K48" s="56"/>
      <c r="L48" s="56"/>
      <c r="M48" s="56"/>
      <c r="N48" s="56">
        <v>0</v>
      </c>
      <c r="O48" s="80">
        <f t="shared" si="1"/>
        <v>0</v>
      </c>
      <c r="P48" s="80">
        <f t="shared" si="2"/>
        <v>0</v>
      </c>
    </row>
    <row r="49" spans="1:16" ht="22.5">
      <c r="A49" s="76"/>
      <c r="B49" s="76"/>
      <c r="C49" s="76" t="s">
        <v>251</v>
      </c>
      <c r="D49" s="76"/>
      <c r="E49" s="76"/>
      <c r="F49" s="54" t="s">
        <v>252</v>
      </c>
      <c r="G49" s="55">
        <v>72749948</v>
      </c>
      <c r="H49" s="55">
        <v>56788618</v>
      </c>
      <c r="I49" s="55">
        <v>58163925</v>
      </c>
      <c r="J49" s="55">
        <v>58163925</v>
      </c>
      <c r="K49" s="55">
        <v>58163925</v>
      </c>
      <c r="L49" s="55">
        <v>57707108.403099999</v>
      </c>
      <c r="M49" s="55">
        <f>L49-N49</f>
        <v>613.50549999624491</v>
      </c>
      <c r="N49" s="55">
        <v>57706494.897600003</v>
      </c>
      <c r="O49" s="77">
        <f t="shared" si="1"/>
        <v>99.213550147449652</v>
      </c>
      <c r="P49" s="77">
        <f t="shared" si="2"/>
        <v>99.213550147449652</v>
      </c>
    </row>
    <row r="50" spans="1:16" ht="21">
      <c r="D50" s="78" t="s">
        <v>295</v>
      </c>
      <c r="F50" s="79" t="s">
        <v>296</v>
      </c>
      <c r="G50" s="56">
        <v>430682</v>
      </c>
      <c r="H50" s="56">
        <v>398269</v>
      </c>
      <c r="I50" s="56">
        <v>398269</v>
      </c>
      <c r="J50" s="56">
        <v>398269</v>
      </c>
      <c r="K50" s="56">
        <v>398269</v>
      </c>
      <c r="L50" s="56">
        <v>398269</v>
      </c>
      <c r="M50" s="56">
        <f>L50-N50</f>
        <v>0</v>
      </c>
      <c r="N50" s="56">
        <v>398269</v>
      </c>
      <c r="O50" s="80">
        <f t="shared" si="1"/>
        <v>100</v>
      </c>
      <c r="P50" s="80">
        <f t="shared" si="2"/>
        <v>100</v>
      </c>
    </row>
    <row r="51" spans="1:16">
      <c r="D51" s="78" t="s">
        <v>297</v>
      </c>
      <c r="F51" s="79" t="s">
        <v>93</v>
      </c>
      <c r="G51" s="56">
        <v>989738</v>
      </c>
      <c r="H51" s="56">
        <v>981169</v>
      </c>
      <c r="I51" s="56">
        <v>981169</v>
      </c>
      <c r="J51" s="56">
        <v>981169</v>
      </c>
      <c r="K51" s="56">
        <v>981169</v>
      </c>
      <c r="L51" s="56">
        <v>981169</v>
      </c>
      <c r="M51" s="56">
        <f>L51-N51</f>
        <v>0</v>
      </c>
      <c r="N51" s="56">
        <v>981169</v>
      </c>
      <c r="O51" s="80">
        <f t="shared" si="1"/>
        <v>100</v>
      </c>
      <c r="P51" s="80">
        <f t="shared" si="2"/>
        <v>100</v>
      </c>
    </row>
    <row r="52" spans="1:16" ht="42">
      <c r="D52" s="78" t="s">
        <v>289</v>
      </c>
      <c r="F52" s="79" t="s">
        <v>298</v>
      </c>
      <c r="G52" s="56">
        <v>38259711</v>
      </c>
      <c r="H52" s="56">
        <v>35363661</v>
      </c>
      <c r="I52" s="56">
        <v>35363661</v>
      </c>
      <c r="J52" s="56">
        <v>35363661</v>
      </c>
      <c r="K52" s="56">
        <v>35363661</v>
      </c>
      <c r="L52" s="56">
        <v>35363661</v>
      </c>
      <c r="M52" s="56">
        <f>L52-N52</f>
        <v>0</v>
      </c>
      <c r="N52" s="56">
        <v>35363661</v>
      </c>
      <c r="O52" s="80">
        <f t="shared" si="1"/>
        <v>100</v>
      </c>
      <c r="P52" s="80">
        <f t="shared" si="2"/>
        <v>100</v>
      </c>
    </row>
    <row r="53" spans="1:16" ht="21">
      <c r="D53" s="78" t="s">
        <v>299</v>
      </c>
      <c r="F53" s="79" t="s">
        <v>300</v>
      </c>
      <c r="G53" s="56">
        <v>2346222</v>
      </c>
      <c r="H53" s="56">
        <v>2447965</v>
      </c>
      <c r="I53" s="56">
        <v>2447965</v>
      </c>
      <c r="J53" s="56">
        <v>2447965</v>
      </c>
      <c r="K53" s="56">
        <v>2447965</v>
      </c>
      <c r="L53" s="56">
        <v>2445861.5419999999</v>
      </c>
      <c r="M53" s="56">
        <f>L53-N53</f>
        <v>0</v>
      </c>
      <c r="N53" s="56">
        <v>2445861.5419999999</v>
      </c>
      <c r="O53" s="80">
        <f t="shared" si="1"/>
        <v>99.914073199575967</v>
      </c>
      <c r="P53" s="80">
        <f t="shared" si="2"/>
        <v>99.914073199575967</v>
      </c>
    </row>
    <row r="54" spans="1:16">
      <c r="D54" s="78" t="s">
        <v>301</v>
      </c>
      <c r="F54" s="79" t="s">
        <v>292</v>
      </c>
      <c r="G54" s="56">
        <v>227025</v>
      </c>
      <c r="H54" s="56">
        <v>0</v>
      </c>
      <c r="I54" s="56">
        <v>0</v>
      </c>
      <c r="J54" s="56">
        <v>0</v>
      </c>
      <c r="K54" s="56"/>
      <c r="L54" s="56"/>
      <c r="M54" s="56"/>
      <c r="N54" s="56">
        <v>0</v>
      </c>
      <c r="O54" s="80">
        <f t="shared" si="1"/>
        <v>0</v>
      </c>
      <c r="P54" s="80">
        <f t="shared" si="2"/>
        <v>0</v>
      </c>
    </row>
    <row r="55" spans="1:16">
      <c r="D55" s="78" t="s">
        <v>249</v>
      </c>
      <c r="F55" s="79" t="s">
        <v>302</v>
      </c>
      <c r="G55" s="56">
        <v>2145587</v>
      </c>
      <c r="H55" s="56">
        <v>1682361</v>
      </c>
      <c r="I55" s="56">
        <v>1682361</v>
      </c>
      <c r="J55" s="56">
        <v>1682361</v>
      </c>
      <c r="K55" s="56">
        <v>1682361</v>
      </c>
      <c r="L55" s="56">
        <v>1680129.5873</v>
      </c>
      <c r="M55" s="56">
        <f>L55-N55</f>
        <v>0</v>
      </c>
      <c r="N55" s="56">
        <v>1680129.5873</v>
      </c>
      <c r="O55" s="80">
        <f t="shared" si="1"/>
        <v>99.867364216122468</v>
      </c>
      <c r="P55" s="80">
        <f t="shared" si="2"/>
        <v>99.867364216122468</v>
      </c>
    </row>
    <row r="56" spans="1:16">
      <c r="D56" s="78" t="s">
        <v>303</v>
      </c>
      <c r="F56" s="79" t="s">
        <v>304</v>
      </c>
      <c r="G56" s="56">
        <v>9343467</v>
      </c>
      <c r="H56" s="56">
        <v>5475557</v>
      </c>
      <c r="I56" s="56">
        <v>5475557</v>
      </c>
      <c r="J56" s="56">
        <v>5475557</v>
      </c>
      <c r="K56" s="56">
        <v>5475557</v>
      </c>
      <c r="L56" s="56">
        <v>5023343.8874000004</v>
      </c>
      <c r="M56" s="56">
        <f>L56-N56</f>
        <v>613.5054999999702</v>
      </c>
      <c r="N56" s="56">
        <v>5022730.3819000004</v>
      </c>
      <c r="O56" s="80">
        <f t="shared" si="1"/>
        <v>91.730035536110762</v>
      </c>
      <c r="P56" s="80">
        <f t="shared" si="2"/>
        <v>91.730035536110762</v>
      </c>
    </row>
    <row r="57" spans="1:16">
      <c r="E57" s="78" t="s">
        <v>285</v>
      </c>
      <c r="F57" s="79" t="s">
        <v>305</v>
      </c>
      <c r="G57" s="56">
        <v>0</v>
      </c>
      <c r="H57" s="56">
        <v>0</v>
      </c>
      <c r="I57" s="56">
        <v>2151925</v>
      </c>
      <c r="J57" s="56">
        <v>2151925</v>
      </c>
      <c r="K57" s="56">
        <v>2151925</v>
      </c>
      <c r="L57" s="56">
        <v>1937297</v>
      </c>
      <c r="M57" s="56">
        <f>L57-N57</f>
        <v>0</v>
      </c>
      <c r="N57" s="56">
        <v>1937297</v>
      </c>
      <c r="O57" s="80">
        <f t="shared" si="1"/>
        <v>90.026232326870129</v>
      </c>
      <c r="P57" s="80">
        <f t="shared" si="2"/>
        <v>90.026232326870129</v>
      </c>
    </row>
    <row r="58" spans="1:16">
      <c r="E58" s="78" t="s">
        <v>299</v>
      </c>
      <c r="F58" s="79" t="s">
        <v>306</v>
      </c>
      <c r="G58" s="56">
        <v>0</v>
      </c>
      <c r="H58" s="56">
        <v>0</v>
      </c>
      <c r="I58" s="56">
        <v>3323632</v>
      </c>
      <c r="J58" s="56">
        <v>3323632</v>
      </c>
      <c r="K58" s="56">
        <v>3323632</v>
      </c>
      <c r="L58" s="56">
        <v>3086046.8873000001</v>
      </c>
      <c r="M58" s="56">
        <f>L58-N58</f>
        <v>613.50540000014007</v>
      </c>
      <c r="N58" s="56">
        <v>3085433.3818999999</v>
      </c>
      <c r="O58" s="80">
        <f t="shared" si="1"/>
        <v>92.833183153249209</v>
      </c>
      <c r="P58" s="80">
        <f t="shared" si="2"/>
        <v>92.833183153249209</v>
      </c>
    </row>
    <row r="59" spans="1:16">
      <c r="D59" s="78" t="s">
        <v>307</v>
      </c>
      <c r="F59" s="79" t="s">
        <v>308</v>
      </c>
      <c r="G59" s="56">
        <v>1481410</v>
      </c>
      <c r="H59" s="56">
        <v>1263452</v>
      </c>
      <c r="I59" s="56">
        <v>1263452</v>
      </c>
      <c r="J59" s="56">
        <v>1263452</v>
      </c>
      <c r="K59" s="56">
        <v>1263452</v>
      </c>
      <c r="L59" s="56">
        <v>1263183.3865</v>
      </c>
      <c r="M59" s="56">
        <f>L59-N59</f>
        <v>0</v>
      </c>
      <c r="N59" s="56">
        <v>1263183.3865</v>
      </c>
      <c r="O59" s="80">
        <f t="shared" si="1"/>
        <v>99.978739714686441</v>
      </c>
      <c r="P59" s="80">
        <f t="shared" si="2"/>
        <v>99.978739714686441</v>
      </c>
    </row>
    <row r="60" spans="1:16" ht="31.5">
      <c r="D60" s="78" t="s">
        <v>309</v>
      </c>
      <c r="F60" s="79" t="s">
        <v>310</v>
      </c>
      <c r="G60" s="56">
        <v>7820522</v>
      </c>
      <c r="H60" s="56">
        <v>0</v>
      </c>
      <c r="I60" s="56">
        <v>0</v>
      </c>
      <c r="J60" s="56">
        <v>0</v>
      </c>
      <c r="K60" s="56"/>
      <c r="L60" s="56"/>
      <c r="M60" s="56"/>
      <c r="N60" s="56">
        <v>0</v>
      </c>
      <c r="O60" s="80">
        <f t="shared" si="1"/>
        <v>0</v>
      </c>
      <c r="P60" s="80">
        <f t="shared" si="2"/>
        <v>0</v>
      </c>
    </row>
    <row r="61" spans="1:16">
      <c r="D61" s="78" t="s">
        <v>311</v>
      </c>
      <c r="F61" s="79" t="s">
        <v>312</v>
      </c>
      <c r="G61" s="56">
        <v>529400</v>
      </c>
      <c r="H61" s="56">
        <v>0</v>
      </c>
      <c r="I61" s="56">
        <v>0</v>
      </c>
      <c r="J61" s="56">
        <v>0</v>
      </c>
      <c r="K61" s="56"/>
      <c r="L61" s="56"/>
      <c r="M61" s="56"/>
      <c r="N61" s="56">
        <v>0</v>
      </c>
      <c r="O61" s="80">
        <f t="shared" si="1"/>
        <v>0</v>
      </c>
      <c r="P61" s="80">
        <f t="shared" si="2"/>
        <v>0</v>
      </c>
    </row>
    <row r="62" spans="1:16">
      <c r="D62" s="78" t="s">
        <v>313</v>
      </c>
      <c r="F62" s="79" t="s">
        <v>314</v>
      </c>
      <c r="G62" s="56">
        <v>9164742</v>
      </c>
      <c r="H62" s="56">
        <v>9164742</v>
      </c>
      <c r="I62" s="56">
        <v>9164742</v>
      </c>
      <c r="J62" s="56">
        <v>9164742</v>
      </c>
      <c r="K62" s="56">
        <v>9164742</v>
      </c>
      <c r="L62" s="56">
        <v>9164742</v>
      </c>
      <c r="M62" s="56">
        <f t="shared" ref="M62:M67" si="4">L62-N62</f>
        <v>0</v>
      </c>
      <c r="N62" s="56">
        <v>9164742</v>
      </c>
      <c r="O62" s="80">
        <f t="shared" ref="O62:O67" si="5">IF(J62=0,0,N62/J62*100)</f>
        <v>100</v>
      </c>
      <c r="P62" s="80">
        <f t="shared" ref="P62:P67" si="6">IF(I62=0,0,N62/I62*100)</f>
        <v>100</v>
      </c>
    </row>
    <row r="63" spans="1:16">
      <c r="D63" s="78" t="s">
        <v>269</v>
      </c>
      <c r="F63" s="79" t="s">
        <v>315</v>
      </c>
      <c r="G63" s="56">
        <v>11442</v>
      </c>
      <c r="H63" s="56">
        <v>11442</v>
      </c>
      <c r="I63" s="56">
        <v>11442</v>
      </c>
      <c r="J63" s="56">
        <v>11442</v>
      </c>
      <c r="K63" s="56">
        <v>11442</v>
      </c>
      <c r="L63" s="56">
        <v>11442</v>
      </c>
      <c r="M63" s="56">
        <f t="shared" si="4"/>
        <v>0</v>
      </c>
      <c r="N63" s="56">
        <v>11442</v>
      </c>
      <c r="O63" s="80">
        <f t="shared" si="5"/>
        <v>100</v>
      </c>
      <c r="P63" s="80">
        <f t="shared" si="6"/>
        <v>100</v>
      </c>
    </row>
    <row r="64" spans="1:16" ht="31.5">
      <c r="D64" s="78" t="s">
        <v>316</v>
      </c>
      <c r="F64" s="79" t="s">
        <v>317</v>
      </c>
      <c r="G64" s="56">
        <v>0</v>
      </c>
      <c r="H64" s="56">
        <v>0</v>
      </c>
      <c r="I64" s="56">
        <v>1375307</v>
      </c>
      <c r="J64" s="56">
        <v>1375307</v>
      </c>
      <c r="K64" s="56">
        <v>1375307</v>
      </c>
      <c r="L64" s="56">
        <v>1375307</v>
      </c>
      <c r="M64" s="56">
        <f t="shared" si="4"/>
        <v>0</v>
      </c>
      <c r="N64" s="56">
        <v>1375307</v>
      </c>
      <c r="O64" s="80">
        <f t="shared" si="5"/>
        <v>100</v>
      </c>
      <c r="P64" s="80">
        <f t="shared" si="6"/>
        <v>100</v>
      </c>
    </row>
    <row r="65" spans="1:16">
      <c r="A65" s="76"/>
      <c r="B65" s="76"/>
      <c r="C65" s="76" t="s">
        <v>282</v>
      </c>
      <c r="D65" s="76"/>
      <c r="E65" s="76"/>
      <c r="F65" s="54" t="s">
        <v>3</v>
      </c>
      <c r="G65" s="55">
        <v>829391</v>
      </c>
      <c r="H65" s="55">
        <v>829391</v>
      </c>
      <c r="I65" s="55">
        <v>829391</v>
      </c>
      <c r="J65" s="55">
        <v>829391</v>
      </c>
      <c r="K65" s="55">
        <v>829391</v>
      </c>
      <c r="L65" s="55">
        <v>829285.15</v>
      </c>
      <c r="M65" s="55">
        <f t="shared" si="4"/>
        <v>0</v>
      </c>
      <c r="N65" s="55">
        <v>829285.15</v>
      </c>
      <c r="O65" s="77">
        <f t="shared" si="5"/>
        <v>99.987237623750445</v>
      </c>
      <c r="P65" s="77">
        <f t="shared" si="6"/>
        <v>99.987237623750445</v>
      </c>
    </row>
    <row r="66" spans="1:16">
      <c r="D66" s="78" t="s">
        <v>318</v>
      </c>
      <c r="F66" s="79" t="s">
        <v>319</v>
      </c>
      <c r="G66" s="56">
        <v>87672</v>
      </c>
      <c r="H66" s="56">
        <v>87672</v>
      </c>
      <c r="I66" s="56">
        <v>87672</v>
      </c>
      <c r="J66" s="56">
        <v>87672</v>
      </c>
      <c r="K66" s="56">
        <v>87672</v>
      </c>
      <c r="L66" s="56">
        <v>87672</v>
      </c>
      <c r="M66" s="56">
        <f t="shared" si="4"/>
        <v>0</v>
      </c>
      <c r="N66" s="56">
        <v>87672</v>
      </c>
      <c r="O66" s="80">
        <f t="shared" si="5"/>
        <v>100</v>
      </c>
      <c r="P66" s="80">
        <f t="shared" si="6"/>
        <v>100</v>
      </c>
    </row>
    <row r="67" spans="1:16" ht="21">
      <c r="D67" s="78" t="s">
        <v>299</v>
      </c>
      <c r="F67" s="79" t="s">
        <v>320</v>
      </c>
      <c r="G67" s="56">
        <v>741719</v>
      </c>
      <c r="H67" s="56">
        <v>741719</v>
      </c>
      <c r="I67" s="56">
        <v>741719</v>
      </c>
      <c r="J67" s="56">
        <v>741719</v>
      </c>
      <c r="K67" s="56">
        <v>741719</v>
      </c>
      <c r="L67" s="56">
        <v>741613.15</v>
      </c>
      <c r="M67" s="56">
        <f t="shared" si="4"/>
        <v>0</v>
      </c>
      <c r="N67" s="56">
        <v>741613.15</v>
      </c>
      <c r="O67" s="80">
        <f t="shared" si="5"/>
        <v>99.985729096868226</v>
      </c>
      <c r="P67" s="80">
        <f t="shared" si="6"/>
        <v>99.985729096868226</v>
      </c>
    </row>
    <row r="70" spans="1:16" ht="12">
      <c r="A70" s="57"/>
      <c r="B70" s="81"/>
      <c r="C70" s="81"/>
      <c r="D70" s="81"/>
      <c r="E70" s="81"/>
      <c r="F70" s="82"/>
      <c r="G70" s="82"/>
      <c r="H70" s="82"/>
      <c r="I70" s="82"/>
      <c r="J70" s="82"/>
      <c r="K70" s="82"/>
      <c r="L70" s="82"/>
      <c r="M70" s="82"/>
    </row>
  </sheetData>
  <mergeCells count="14">
    <mergeCell ref="N6:N7"/>
    <mergeCell ref="O6:O7"/>
    <mergeCell ref="P6:P7"/>
    <mergeCell ref="A8:E8"/>
    <mergeCell ref="A1:P1"/>
    <mergeCell ref="A2:P2"/>
    <mergeCell ref="A6:E7"/>
    <mergeCell ref="F6:F7"/>
    <mergeCell ref="G6:G7"/>
    <mergeCell ref="H6:H7"/>
    <mergeCell ref="I6:I7"/>
    <mergeCell ref="J6:K6"/>
    <mergeCell ref="L6:L7"/>
    <mergeCell ref="M6:M7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72" fitToHeight="0" orientation="landscape" r:id="rId1"/>
  <headerFooter alignWithMargins="0">
    <oddFooter>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18"/>
  <sheetViews>
    <sheetView topLeftCell="A256" zoomScaleNormal="100" workbookViewId="0">
      <selection activeCell="A220" sqref="A220:XFD220"/>
    </sheetView>
  </sheetViews>
  <sheetFormatPr defaultRowHeight="11.25"/>
  <cols>
    <col min="1" max="5" width="4" style="78" customWidth="1"/>
    <col min="6" max="6" width="52.5703125" style="49" customWidth="1"/>
    <col min="7" max="7" width="17" style="49" hidden="1" customWidth="1"/>
    <col min="8" max="13" width="12.42578125" style="49" hidden="1" customWidth="1"/>
    <col min="14" max="14" width="13.85546875" style="49" customWidth="1"/>
    <col min="15" max="15" width="9.140625" style="49"/>
    <col min="16" max="16" width="10" style="49" bestFit="1" customWidth="1"/>
    <col min="17" max="18" width="9.140625" style="49"/>
    <col min="19" max="19" width="10.85546875" style="49" bestFit="1" customWidth="1"/>
    <col min="20" max="20" width="8.7109375" style="49" customWidth="1"/>
    <col min="21" max="21" width="22.7109375" style="49" customWidth="1"/>
    <col min="22" max="22" width="9.140625" style="49"/>
    <col min="23" max="23" width="10.85546875" style="49" bestFit="1" customWidth="1"/>
    <col min="24" max="27" width="9.140625" style="49"/>
    <col min="28" max="28" width="10.85546875" style="49" bestFit="1" customWidth="1"/>
    <col min="29" max="16384" width="9.140625" style="49"/>
  </cols>
  <sheetData>
    <row r="1" spans="1:23" s="44" customFormat="1" ht="15.75">
      <c r="A1" s="1309" t="s">
        <v>498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</row>
    <row r="2" spans="1:23" s="44" customFormat="1" ht="15.75">
      <c r="A2" s="1309" t="s">
        <v>1484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</row>
    <row r="3" spans="1:23" s="44" customFormat="1" ht="15.75">
      <c r="A3" s="66" t="s">
        <v>499</v>
      </c>
      <c r="B3" s="42"/>
      <c r="C3" s="42"/>
      <c r="D3" s="42"/>
      <c r="E3" s="42"/>
      <c r="F3" s="43"/>
      <c r="G3" s="43"/>
      <c r="H3" s="43"/>
      <c r="I3" s="43"/>
      <c r="J3" s="43"/>
      <c r="K3" s="43"/>
      <c r="L3" s="43"/>
      <c r="M3" s="43"/>
      <c r="N3" s="67"/>
    </row>
    <row r="4" spans="1:23" s="48" customFormat="1">
      <c r="A4" s="46" t="s">
        <v>500</v>
      </c>
      <c r="B4" s="46"/>
      <c r="C4" s="46"/>
      <c r="D4" s="46"/>
      <c r="E4" s="46"/>
      <c r="F4" s="47" t="s">
        <v>1485</v>
      </c>
      <c r="G4" s="47"/>
      <c r="H4" s="47"/>
      <c r="I4" s="47"/>
      <c r="J4" s="47"/>
      <c r="K4" s="47"/>
      <c r="L4" s="47"/>
      <c r="M4" s="47"/>
      <c r="N4" s="68"/>
    </row>
    <row r="5" spans="1:23">
      <c r="A5" s="46" t="s">
        <v>501</v>
      </c>
      <c r="B5" s="46"/>
      <c r="C5" s="46"/>
      <c r="D5" s="46"/>
      <c r="E5" s="46"/>
      <c r="F5" s="47" t="s">
        <v>228</v>
      </c>
      <c r="G5" s="47"/>
      <c r="H5" s="47"/>
      <c r="I5" s="47"/>
      <c r="J5" s="47"/>
      <c r="K5" s="47"/>
      <c r="L5" s="47"/>
      <c r="M5" s="47"/>
    </row>
    <row r="6" spans="1:23" s="69" customFormat="1" ht="42.75" customHeight="1">
      <c r="A6" s="1310" t="s">
        <v>229</v>
      </c>
      <c r="B6" s="1311"/>
      <c r="C6" s="1311"/>
      <c r="D6" s="1311"/>
      <c r="E6" s="1311"/>
      <c r="F6" s="1304" t="s">
        <v>230</v>
      </c>
      <c r="G6" s="1304" t="s">
        <v>502</v>
      </c>
      <c r="H6" s="1304" t="s">
        <v>503</v>
      </c>
      <c r="I6" s="1304" t="s">
        <v>231</v>
      </c>
      <c r="J6" s="1314" t="s">
        <v>504</v>
      </c>
      <c r="K6" s="1315"/>
      <c r="L6" s="1304" t="s">
        <v>505</v>
      </c>
      <c r="M6" s="1304" t="s">
        <v>506</v>
      </c>
      <c r="N6" s="1304" t="s">
        <v>232</v>
      </c>
      <c r="O6" s="1304" t="s">
        <v>233</v>
      </c>
      <c r="P6" s="1306" t="s">
        <v>507</v>
      </c>
    </row>
    <row r="7" spans="1:23" s="69" customFormat="1" ht="40.5" customHeight="1">
      <c r="A7" s="1312"/>
      <c r="B7" s="1313"/>
      <c r="C7" s="1313"/>
      <c r="D7" s="1313"/>
      <c r="E7" s="1313"/>
      <c r="F7" s="1305"/>
      <c r="G7" s="1305"/>
      <c r="H7" s="1305"/>
      <c r="I7" s="1305"/>
      <c r="J7" s="189" t="s">
        <v>508</v>
      </c>
      <c r="K7" s="189" t="s">
        <v>509</v>
      </c>
      <c r="L7" s="1305"/>
      <c r="M7" s="1305"/>
      <c r="N7" s="1305"/>
      <c r="O7" s="1305"/>
      <c r="P7" s="1306"/>
      <c r="W7" s="49"/>
    </row>
    <row r="8" spans="1:23" ht="11.25" customHeight="1">
      <c r="A8" s="1307" t="s">
        <v>234</v>
      </c>
      <c r="B8" s="1308"/>
      <c r="C8" s="1308"/>
      <c r="D8" s="1308"/>
      <c r="E8" s="1308"/>
      <c r="F8" s="70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>
        <v>8</v>
      </c>
      <c r="M8" s="71">
        <v>9</v>
      </c>
      <c r="N8" s="71">
        <v>10</v>
      </c>
      <c r="O8" s="71">
        <v>11</v>
      </c>
      <c r="P8" s="71">
        <v>12</v>
      </c>
    </row>
    <row r="9" spans="1:23" ht="12">
      <c r="A9" s="72"/>
      <c r="B9" s="72"/>
      <c r="C9" s="72"/>
      <c r="D9" s="72"/>
      <c r="E9" s="72"/>
      <c r="F9" s="50" t="s">
        <v>235</v>
      </c>
      <c r="G9" s="51">
        <v>9172663934</v>
      </c>
      <c r="H9" s="51">
        <v>9056404439.2980003</v>
      </c>
      <c r="I9" s="51">
        <v>8989154634.6000004</v>
      </c>
      <c r="J9" s="51">
        <v>8989154634.6000004</v>
      </c>
      <c r="K9" s="51">
        <v>8989154634.6000004</v>
      </c>
      <c r="L9" s="51">
        <v>8961691306.8731995</v>
      </c>
      <c r="M9" s="51">
        <f>L9-N9</f>
        <v>15846930.926698685</v>
      </c>
      <c r="N9" s="51">
        <v>8945844375.9465008</v>
      </c>
      <c r="O9" s="73"/>
      <c r="P9" s="73"/>
    </row>
    <row r="10" spans="1:23" ht="12">
      <c r="A10" s="72" t="s">
        <v>1507</v>
      </c>
      <c r="B10" s="72"/>
      <c r="C10" s="72"/>
      <c r="D10" s="72"/>
      <c r="E10" s="72"/>
      <c r="F10" s="50" t="s">
        <v>1508</v>
      </c>
      <c r="G10" s="51">
        <v>1401044458</v>
      </c>
      <c r="H10" s="51">
        <v>1366144376.2980001</v>
      </c>
      <c r="I10" s="51">
        <v>1368076073.7</v>
      </c>
      <c r="J10" s="51">
        <v>1368076073.7</v>
      </c>
      <c r="K10" s="51">
        <v>1368076073.7</v>
      </c>
      <c r="L10" s="51">
        <v>1365749930.1854</v>
      </c>
      <c r="M10" s="51">
        <f>L10-N10</f>
        <v>736942.1507999897</v>
      </c>
      <c r="N10" s="51">
        <v>1365012988.0346</v>
      </c>
      <c r="O10" s="73"/>
      <c r="P10" s="73"/>
    </row>
    <row r="11" spans="1:23">
      <c r="A11" s="76"/>
      <c r="B11" s="76"/>
      <c r="C11" s="76"/>
      <c r="D11" s="76"/>
      <c r="E11" s="76"/>
      <c r="F11" s="217"/>
      <c r="G11" s="218"/>
      <c r="H11" s="218"/>
      <c r="I11" s="218"/>
      <c r="J11" s="218"/>
      <c r="K11" s="218"/>
      <c r="L11" s="218"/>
      <c r="M11" s="218"/>
      <c r="N11" s="218"/>
      <c r="O11" s="219"/>
      <c r="P11" s="77"/>
    </row>
    <row r="12" spans="1:23">
      <c r="F12" s="54" t="s">
        <v>323</v>
      </c>
      <c r="G12" s="221"/>
      <c r="H12" s="221"/>
      <c r="I12" s="221"/>
      <c r="J12" s="221"/>
      <c r="K12" s="221"/>
      <c r="L12" s="221"/>
      <c r="M12" s="221"/>
      <c r="N12" s="55">
        <v>3881908.0059000002</v>
      </c>
      <c r="O12" s="222"/>
      <c r="P12" s="80" t="s">
        <v>1273</v>
      </c>
      <c r="Q12" s="49" t="s">
        <v>621</v>
      </c>
    </row>
    <row r="13" spans="1:23" ht="21">
      <c r="F13" s="79" t="s">
        <v>1431</v>
      </c>
      <c r="G13" s="221"/>
      <c r="H13" s="221"/>
      <c r="I13" s="221"/>
      <c r="J13" s="221"/>
      <c r="K13" s="221"/>
      <c r="L13" s="221"/>
      <c r="M13" s="221"/>
      <c r="N13" s="56">
        <v>3686980.2028999999</v>
      </c>
      <c r="O13" s="222"/>
      <c r="P13" s="80">
        <f>N14+N17+N21+N24+N28</f>
        <v>300377.14743999997</v>
      </c>
      <c r="Q13" s="56">
        <f>N15+N18+N22+N25+N29+N31+N34</f>
        <v>5156584.2906000009</v>
      </c>
    </row>
    <row r="14" spans="1:23">
      <c r="F14" s="79" t="s">
        <v>325</v>
      </c>
      <c r="G14" s="221"/>
      <c r="H14" s="221"/>
      <c r="I14" s="221"/>
      <c r="J14" s="221"/>
      <c r="K14" s="221"/>
      <c r="L14" s="221"/>
      <c r="M14" s="221"/>
      <c r="N14" s="56">
        <v>230628.05744</v>
      </c>
      <c r="O14" s="222"/>
      <c r="P14" s="80"/>
    </row>
    <row r="15" spans="1:23">
      <c r="F15" s="79" t="s">
        <v>327</v>
      </c>
      <c r="G15" s="221"/>
      <c r="H15" s="221"/>
      <c r="I15" s="221"/>
      <c r="J15" s="221"/>
      <c r="K15" s="221"/>
      <c r="L15" s="221"/>
      <c r="M15" s="221"/>
      <c r="N15" s="56">
        <v>3456352.1455000001</v>
      </c>
      <c r="O15" s="222"/>
      <c r="P15" s="80">
        <f>SUM(P13:Q13)</f>
        <v>5456961.4380400013</v>
      </c>
    </row>
    <row r="16" spans="1:23" ht="21">
      <c r="F16" s="79" t="s">
        <v>1432</v>
      </c>
      <c r="G16" s="221"/>
      <c r="H16" s="221"/>
      <c r="I16" s="221"/>
      <c r="J16" s="221"/>
      <c r="K16" s="221"/>
      <c r="L16" s="221"/>
      <c r="M16" s="221"/>
      <c r="N16" s="56">
        <v>194927.80300000001</v>
      </c>
      <c r="O16" s="222"/>
      <c r="P16" s="80"/>
    </row>
    <row r="17" spans="1:16">
      <c r="F17" s="79" t="s">
        <v>325</v>
      </c>
      <c r="G17" s="221"/>
      <c r="H17" s="221"/>
      <c r="I17" s="221"/>
      <c r="J17" s="221"/>
      <c r="K17" s="221"/>
      <c r="L17" s="221"/>
      <c r="M17" s="221"/>
      <c r="N17" s="56">
        <v>23954.507000000001</v>
      </c>
      <c r="O17" s="222"/>
      <c r="P17" s="80"/>
    </row>
    <row r="18" spans="1:16">
      <c r="A18" s="76"/>
      <c r="B18" s="76"/>
      <c r="C18" s="76"/>
      <c r="D18" s="76"/>
      <c r="E18" s="76"/>
      <c r="F18" s="79" t="s">
        <v>327</v>
      </c>
      <c r="G18" s="218"/>
      <c r="H18" s="218"/>
      <c r="I18" s="218"/>
      <c r="J18" s="218"/>
      <c r="K18" s="218"/>
      <c r="L18" s="218"/>
      <c r="M18" s="218"/>
      <c r="N18" s="56">
        <v>170973.296</v>
      </c>
      <c r="O18" s="219"/>
      <c r="P18" s="77"/>
    </row>
    <row r="19" spans="1:16" ht="22.5">
      <c r="F19" s="54" t="s">
        <v>329</v>
      </c>
      <c r="G19" s="55">
        <v>671205</v>
      </c>
      <c r="H19" s="55">
        <v>554530</v>
      </c>
      <c r="I19" s="55">
        <v>554530</v>
      </c>
      <c r="J19" s="55">
        <v>554530</v>
      </c>
      <c r="K19" s="55">
        <v>554530</v>
      </c>
      <c r="L19" s="55">
        <v>551294.58299999998</v>
      </c>
      <c r="M19" s="55">
        <f t="shared" ref="M19:M34" si="0">L19-N19</f>
        <v>0</v>
      </c>
      <c r="N19" s="55">
        <v>551294.58299999998</v>
      </c>
      <c r="O19" s="222"/>
      <c r="P19" s="80"/>
    </row>
    <row r="20" spans="1:16" ht="21">
      <c r="F20" s="79" t="s">
        <v>1431</v>
      </c>
      <c r="G20" s="56">
        <v>576313</v>
      </c>
      <c r="H20" s="56">
        <v>489091</v>
      </c>
      <c r="I20" s="56">
        <v>489091</v>
      </c>
      <c r="J20" s="56">
        <v>489091</v>
      </c>
      <c r="K20" s="56">
        <v>489091</v>
      </c>
      <c r="L20" s="56">
        <v>485856</v>
      </c>
      <c r="M20" s="56">
        <f t="shared" si="0"/>
        <v>0</v>
      </c>
      <c r="N20" s="56">
        <v>485856</v>
      </c>
      <c r="O20" s="222"/>
      <c r="P20" s="80"/>
    </row>
    <row r="21" spans="1:16">
      <c r="F21" s="79" t="s">
        <v>325</v>
      </c>
      <c r="G21" s="56">
        <v>0</v>
      </c>
      <c r="H21" s="56">
        <v>0</v>
      </c>
      <c r="I21" s="56">
        <v>36629</v>
      </c>
      <c r="J21" s="56">
        <v>36629</v>
      </c>
      <c r="K21" s="56">
        <v>36629</v>
      </c>
      <c r="L21" s="56">
        <v>33394</v>
      </c>
      <c r="M21" s="56">
        <f t="shared" si="0"/>
        <v>0</v>
      </c>
      <c r="N21" s="56">
        <v>33394</v>
      </c>
      <c r="O21" s="222"/>
      <c r="P21" s="80"/>
    </row>
    <row r="22" spans="1:16">
      <c r="F22" s="79" t="s">
        <v>327</v>
      </c>
      <c r="G22" s="56">
        <v>0</v>
      </c>
      <c r="H22" s="56">
        <v>0</v>
      </c>
      <c r="I22" s="56">
        <v>452462</v>
      </c>
      <c r="J22" s="56">
        <v>452462</v>
      </c>
      <c r="K22" s="56">
        <v>452462</v>
      </c>
      <c r="L22" s="56">
        <v>452462</v>
      </c>
      <c r="M22" s="56">
        <f t="shared" si="0"/>
        <v>0</v>
      </c>
      <c r="N22" s="56">
        <v>452462</v>
      </c>
      <c r="O22" s="222"/>
      <c r="P22" s="80"/>
    </row>
    <row r="23" spans="1:16" ht="21">
      <c r="F23" s="79" t="s">
        <v>1432</v>
      </c>
      <c r="G23" s="56">
        <v>94892</v>
      </c>
      <c r="H23" s="56">
        <v>65439</v>
      </c>
      <c r="I23" s="56">
        <v>65439</v>
      </c>
      <c r="J23" s="56">
        <v>65439</v>
      </c>
      <c r="K23" s="56">
        <v>65439</v>
      </c>
      <c r="L23" s="56">
        <v>65438.582999999999</v>
      </c>
      <c r="M23" s="56">
        <f t="shared" si="0"/>
        <v>0</v>
      </c>
      <c r="N23" s="56">
        <v>65438.582999999999</v>
      </c>
      <c r="O23" s="222"/>
      <c r="P23" s="80"/>
    </row>
    <row r="24" spans="1:16">
      <c r="F24" s="79" t="s">
        <v>325</v>
      </c>
      <c r="G24" s="56">
        <v>0</v>
      </c>
      <c r="H24" s="56">
        <v>0</v>
      </c>
      <c r="I24" s="56">
        <v>9646</v>
      </c>
      <c r="J24" s="56">
        <v>9646</v>
      </c>
      <c r="K24" s="56">
        <v>9646</v>
      </c>
      <c r="L24" s="56">
        <v>9645.5830000000005</v>
      </c>
      <c r="M24" s="56">
        <f t="shared" si="0"/>
        <v>0</v>
      </c>
      <c r="N24" s="56">
        <v>9645.5830000000005</v>
      </c>
      <c r="O24" s="222"/>
      <c r="P24" s="80"/>
    </row>
    <row r="25" spans="1:16">
      <c r="A25" s="76"/>
      <c r="B25" s="76"/>
      <c r="C25" s="76"/>
      <c r="D25" s="76"/>
      <c r="E25" s="76"/>
      <c r="F25" s="79" t="s">
        <v>327</v>
      </c>
      <c r="G25" s="56">
        <v>0</v>
      </c>
      <c r="H25" s="56">
        <v>0</v>
      </c>
      <c r="I25" s="56">
        <v>55793</v>
      </c>
      <c r="J25" s="56">
        <v>55793</v>
      </c>
      <c r="K25" s="56">
        <v>55793</v>
      </c>
      <c r="L25" s="56">
        <v>55793</v>
      </c>
      <c r="M25" s="56">
        <f t="shared" si="0"/>
        <v>0</v>
      </c>
      <c r="N25" s="56">
        <v>55793</v>
      </c>
      <c r="O25" s="219"/>
      <c r="P25" s="77"/>
    </row>
    <row r="26" spans="1:16">
      <c r="F26" s="54" t="s">
        <v>323</v>
      </c>
      <c r="G26" s="55">
        <v>710356</v>
      </c>
      <c r="H26" s="55">
        <v>677319.8</v>
      </c>
      <c r="I26" s="55">
        <v>677319.8</v>
      </c>
      <c r="J26" s="55">
        <v>677319.8</v>
      </c>
      <c r="K26" s="55">
        <v>677319.8</v>
      </c>
      <c r="L26" s="55">
        <v>677292.6054</v>
      </c>
      <c r="M26" s="55">
        <f t="shared" si="0"/>
        <v>105.50829999998678</v>
      </c>
      <c r="N26" s="55">
        <v>677187.09710000001</v>
      </c>
      <c r="O26" s="222"/>
      <c r="P26" s="80"/>
    </row>
    <row r="27" spans="1:16">
      <c r="F27" s="79" t="s">
        <v>1429</v>
      </c>
      <c r="G27" s="56">
        <v>710356</v>
      </c>
      <c r="H27" s="56">
        <v>677319.8</v>
      </c>
      <c r="I27" s="56">
        <v>677319.8</v>
      </c>
      <c r="J27" s="56">
        <v>677319.8</v>
      </c>
      <c r="K27" s="56">
        <v>677319.8</v>
      </c>
      <c r="L27" s="56">
        <v>677292.6054</v>
      </c>
      <c r="M27" s="56">
        <f t="shared" si="0"/>
        <v>105.50829999998678</v>
      </c>
      <c r="N27" s="56">
        <v>677187.09710000001</v>
      </c>
      <c r="O27" s="222"/>
      <c r="P27" s="80"/>
    </row>
    <row r="28" spans="1:16">
      <c r="F28" s="79" t="s">
        <v>325</v>
      </c>
      <c r="G28" s="56">
        <v>0</v>
      </c>
      <c r="H28" s="56">
        <v>0</v>
      </c>
      <c r="I28" s="56">
        <v>2755</v>
      </c>
      <c r="J28" s="56">
        <v>2755</v>
      </c>
      <c r="K28" s="56">
        <v>2755</v>
      </c>
      <c r="L28" s="56">
        <v>2755</v>
      </c>
      <c r="M28" s="56">
        <f t="shared" si="0"/>
        <v>0</v>
      </c>
      <c r="N28" s="56">
        <v>2755</v>
      </c>
      <c r="O28" s="222"/>
      <c r="P28" s="80"/>
    </row>
    <row r="29" spans="1:16">
      <c r="A29" s="76"/>
      <c r="B29" s="76"/>
      <c r="C29" s="76"/>
      <c r="D29" s="76"/>
      <c r="E29" s="76"/>
      <c r="F29" s="79" t="s">
        <v>327</v>
      </c>
      <c r="G29" s="56">
        <v>0</v>
      </c>
      <c r="H29" s="56">
        <v>0</v>
      </c>
      <c r="I29" s="56">
        <v>674564.8</v>
      </c>
      <c r="J29" s="56">
        <v>674564.8</v>
      </c>
      <c r="K29" s="56">
        <v>674564.8</v>
      </c>
      <c r="L29" s="56">
        <v>674537.6054</v>
      </c>
      <c r="M29" s="56">
        <f t="shared" si="0"/>
        <v>105.50829999998678</v>
      </c>
      <c r="N29" s="56">
        <v>674432.09710000001</v>
      </c>
      <c r="O29" s="219"/>
      <c r="P29" s="77"/>
    </row>
    <row r="30" spans="1:16" ht="22.5">
      <c r="F30" s="54" t="s">
        <v>329</v>
      </c>
      <c r="G30" s="55">
        <v>229796</v>
      </c>
      <c r="H30" s="55">
        <v>159616</v>
      </c>
      <c r="I30" s="55">
        <v>159616</v>
      </c>
      <c r="J30" s="55">
        <v>159616</v>
      </c>
      <c r="K30" s="55">
        <v>159616</v>
      </c>
      <c r="L30" s="55">
        <v>159615.98800000001</v>
      </c>
      <c r="M30" s="55">
        <f t="shared" si="0"/>
        <v>0</v>
      </c>
      <c r="N30" s="55">
        <v>159615.98800000001</v>
      </c>
      <c r="O30" s="222"/>
      <c r="P30" s="80"/>
    </row>
    <row r="31" spans="1:16">
      <c r="A31" s="76"/>
      <c r="B31" s="76"/>
      <c r="C31" s="76"/>
      <c r="D31" s="76"/>
      <c r="E31" s="76"/>
      <c r="F31" s="79" t="s">
        <v>1429</v>
      </c>
      <c r="G31" s="56">
        <v>229796</v>
      </c>
      <c r="H31" s="56">
        <v>159616</v>
      </c>
      <c r="I31" s="56">
        <v>159616</v>
      </c>
      <c r="J31" s="56">
        <v>159616</v>
      </c>
      <c r="K31" s="56">
        <v>159616</v>
      </c>
      <c r="L31" s="56">
        <v>159615.98800000001</v>
      </c>
      <c r="M31" s="56">
        <f t="shared" si="0"/>
        <v>0</v>
      </c>
      <c r="N31" s="56">
        <v>159615.98800000001</v>
      </c>
      <c r="O31" s="219"/>
      <c r="P31" s="77"/>
    </row>
    <row r="32" spans="1:16">
      <c r="F32" s="54" t="s">
        <v>323</v>
      </c>
      <c r="G32" s="55">
        <v>386626</v>
      </c>
      <c r="H32" s="55">
        <v>186957</v>
      </c>
      <c r="I32" s="55">
        <v>186957</v>
      </c>
      <c r="J32" s="55">
        <v>186957</v>
      </c>
      <c r="K32" s="55">
        <v>186957</v>
      </c>
      <c r="L32" s="55">
        <v>186955.764</v>
      </c>
      <c r="M32" s="55">
        <f t="shared" si="0"/>
        <v>0</v>
      </c>
      <c r="N32" s="55">
        <v>186955.764</v>
      </c>
      <c r="O32" s="222"/>
      <c r="P32" s="80"/>
    </row>
    <row r="33" spans="1:16" ht="21">
      <c r="A33" s="76"/>
      <c r="B33" s="76"/>
      <c r="C33" s="76"/>
      <c r="D33" s="76"/>
      <c r="E33" s="76"/>
      <c r="F33" s="79" t="s">
        <v>1430</v>
      </c>
      <c r="G33" s="56">
        <v>386626</v>
      </c>
      <c r="H33" s="56">
        <v>186957</v>
      </c>
      <c r="I33" s="56">
        <v>186957</v>
      </c>
      <c r="J33" s="56">
        <v>186957</v>
      </c>
      <c r="K33" s="56">
        <v>186957</v>
      </c>
      <c r="L33" s="56">
        <v>186955.764</v>
      </c>
      <c r="M33" s="56">
        <f t="shared" si="0"/>
        <v>0</v>
      </c>
      <c r="N33" s="56">
        <v>186955.764</v>
      </c>
      <c r="O33" s="219"/>
      <c r="P33" s="77"/>
    </row>
    <row r="34" spans="1:16">
      <c r="F34" s="79" t="s">
        <v>327</v>
      </c>
      <c r="G34" s="56">
        <v>0</v>
      </c>
      <c r="H34" s="56">
        <v>0</v>
      </c>
      <c r="I34" s="56">
        <v>186957</v>
      </c>
      <c r="J34" s="56">
        <v>186957</v>
      </c>
      <c r="K34" s="56">
        <v>186957</v>
      </c>
      <c r="L34" s="56">
        <v>186955.764</v>
      </c>
      <c r="M34" s="56">
        <f t="shared" si="0"/>
        <v>0</v>
      </c>
      <c r="N34" s="56">
        <v>186955.764</v>
      </c>
      <c r="O34" s="222"/>
      <c r="P34" s="80"/>
    </row>
    <row r="35" spans="1:16">
      <c r="F35" s="220"/>
      <c r="G35" s="221"/>
      <c r="H35" s="221"/>
      <c r="I35" s="221"/>
      <c r="J35" s="221"/>
      <c r="K35" s="221"/>
      <c r="L35" s="221"/>
      <c r="M35" s="221"/>
      <c r="N35" s="221"/>
      <c r="O35" s="222"/>
      <c r="P35" s="80"/>
    </row>
    <row r="36" spans="1:16">
      <c r="A36" s="76"/>
      <c r="B36" s="76"/>
      <c r="C36" s="76"/>
      <c r="D36" s="76"/>
      <c r="E36" s="76"/>
      <c r="F36" s="217"/>
      <c r="G36" s="218"/>
      <c r="H36" s="218"/>
      <c r="I36" s="218"/>
      <c r="J36" s="218"/>
      <c r="K36" s="218"/>
      <c r="L36" s="218"/>
      <c r="M36" s="218"/>
      <c r="N36" s="218"/>
      <c r="O36" s="219"/>
      <c r="P36" s="77"/>
    </row>
    <row r="37" spans="1:16">
      <c r="F37" s="220"/>
      <c r="G37" s="221"/>
      <c r="H37" s="221"/>
      <c r="I37" s="221"/>
      <c r="J37" s="221"/>
      <c r="K37" s="221"/>
      <c r="L37" s="221"/>
      <c r="M37" s="221"/>
      <c r="N37" s="221"/>
      <c r="O37" s="222"/>
      <c r="P37" s="80"/>
    </row>
    <row r="38" spans="1:16">
      <c r="F38" s="79"/>
      <c r="G38" s="56"/>
      <c r="H38" s="56"/>
      <c r="I38" s="56"/>
      <c r="J38" s="56"/>
      <c r="K38" s="56"/>
      <c r="L38" s="56"/>
      <c r="M38" s="56"/>
      <c r="N38" s="56"/>
      <c r="O38" s="80"/>
      <c r="P38" s="80"/>
    </row>
    <row r="39" spans="1:16" ht="22.5">
      <c r="F39" s="54" t="s">
        <v>252</v>
      </c>
      <c r="G39" s="56"/>
      <c r="H39" s="56"/>
      <c r="I39" s="56"/>
      <c r="J39" s="56"/>
      <c r="K39" s="56"/>
      <c r="L39" s="56"/>
      <c r="M39" s="56"/>
      <c r="N39" s="55">
        <v>603620.40150000004</v>
      </c>
      <c r="O39" s="80"/>
      <c r="P39" s="80">
        <f>N40+N42+N44</f>
        <v>28954138.6622</v>
      </c>
    </row>
    <row r="40" spans="1:16" ht="21">
      <c r="F40" s="79" t="s">
        <v>612</v>
      </c>
      <c r="G40" s="56"/>
      <c r="H40" s="56"/>
      <c r="I40" s="56"/>
      <c r="J40" s="56"/>
      <c r="K40" s="56"/>
      <c r="L40" s="56"/>
      <c r="M40" s="56"/>
      <c r="N40" s="56">
        <v>603620.40150000004</v>
      </c>
      <c r="O40" s="80"/>
      <c r="P40" s="80"/>
    </row>
    <row r="41" spans="1:16" ht="22.5">
      <c r="F41" s="54" t="s">
        <v>252</v>
      </c>
      <c r="G41" s="56"/>
      <c r="H41" s="56"/>
      <c r="I41" s="56"/>
      <c r="J41" s="56"/>
      <c r="K41" s="56"/>
      <c r="L41" s="56"/>
      <c r="M41" s="56"/>
      <c r="N41" s="55">
        <v>901828.81</v>
      </c>
      <c r="O41" s="80"/>
      <c r="P41" s="80"/>
    </row>
    <row r="42" spans="1:16" ht="21">
      <c r="F42" s="79" t="s">
        <v>613</v>
      </c>
      <c r="G42" s="56"/>
      <c r="H42" s="56"/>
      <c r="I42" s="56"/>
      <c r="J42" s="56"/>
      <c r="K42" s="56"/>
      <c r="L42" s="56"/>
      <c r="M42" s="56"/>
      <c r="N42" s="56">
        <v>901828.81</v>
      </c>
      <c r="O42" s="80"/>
      <c r="P42" s="80"/>
    </row>
    <row r="43" spans="1:16" ht="22.5">
      <c r="F43" s="54" t="s">
        <v>252</v>
      </c>
      <c r="G43" s="56"/>
      <c r="H43" s="56"/>
      <c r="I43" s="56"/>
      <c r="J43" s="56"/>
      <c r="K43" s="56"/>
      <c r="L43" s="56"/>
      <c r="M43" s="56"/>
      <c r="N43" s="55">
        <v>27448689.4507</v>
      </c>
      <c r="O43" s="80"/>
      <c r="P43" s="80"/>
    </row>
    <row r="44" spans="1:16" ht="21">
      <c r="F44" s="79" t="s">
        <v>614</v>
      </c>
      <c r="G44" s="56"/>
      <c r="H44" s="56"/>
      <c r="I44" s="56"/>
      <c r="J44" s="56"/>
      <c r="K44" s="56"/>
      <c r="L44" s="56"/>
      <c r="M44" s="56"/>
      <c r="N44" s="56">
        <v>27448689.4507</v>
      </c>
      <c r="O44" s="80"/>
      <c r="P44" s="80"/>
    </row>
    <row r="45" spans="1:16" ht="22.5">
      <c r="F45" s="54" t="s">
        <v>252</v>
      </c>
      <c r="G45" s="56"/>
      <c r="H45" s="56"/>
      <c r="I45" s="56"/>
      <c r="J45" s="56"/>
      <c r="K45" s="56"/>
      <c r="L45" s="56"/>
      <c r="M45" s="56"/>
      <c r="N45" s="55">
        <v>282325</v>
      </c>
      <c r="O45" s="80"/>
      <c r="P45" s="80"/>
    </row>
    <row r="46" spans="1:16">
      <c r="F46" s="79" t="s">
        <v>615</v>
      </c>
      <c r="G46" s="56"/>
      <c r="H46" s="56"/>
      <c r="I46" s="56"/>
      <c r="J46" s="56"/>
      <c r="K46" s="56"/>
      <c r="L46" s="56"/>
      <c r="M46" s="56"/>
      <c r="N46" s="56">
        <v>282325</v>
      </c>
      <c r="O46" s="80"/>
      <c r="P46" s="80"/>
    </row>
    <row r="47" spans="1:16">
      <c r="F47" s="79"/>
      <c r="G47" s="56"/>
      <c r="H47" s="56"/>
      <c r="I47" s="56"/>
      <c r="J47" s="56"/>
      <c r="K47" s="56"/>
      <c r="L47" s="56"/>
      <c r="M47" s="56"/>
      <c r="N47" s="56"/>
      <c r="O47" s="80"/>
      <c r="P47" s="80"/>
    </row>
    <row r="48" spans="1:16">
      <c r="F48" s="79"/>
      <c r="G48" s="56"/>
      <c r="H48" s="56"/>
      <c r="I48" s="56"/>
      <c r="J48" s="56"/>
      <c r="K48" s="56"/>
      <c r="L48" s="56"/>
      <c r="M48" s="56"/>
      <c r="N48" s="56"/>
      <c r="O48" s="80"/>
      <c r="P48" s="80"/>
    </row>
    <row r="49" spans="1:29">
      <c r="F49" s="79"/>
      <c r="G49" s="56"/>
      <c r="H49" s="56"/>
      <c r="I49" s="56"/>
      <c r="J49" s="56"/>
      <c r="K49" s="56"/>
      <c r="L49" s="56"/>
      <c r="M49" s="56"/>
      <c r="N49" s="56"/>
      <c r="O49" s="80"/>
      <c r="P49" s="80"/>
    </row>
    <row r="50" spans="1:29">
      <c r="F50" s="79"/>
      <c r="G50" s="56"/>
      <c r="H50" s="56"/>
      <c r="I50" s="56"/>
      <c r="J50" s="56"/>
      <c r="K50" s="56"/>
      <c r="L50" s="56"/>
      <c r="M50" s="56"/>
      <c r="N50" s="56"/>
      <c r="O50" s="80"/>
      <c r="P50" s="80"/>
    </row>
    <row r="51" spans="1:29" ht="12">
      <c r="A51" s="72" t="s">
        <v>236</v>
      </c>
      <c r="B51" s="72"/>
      <c r="C51" s="72"/>
      <c r="D51" s="72"/>
      <c r="E51" s="72"/>
      <c r="F51" s="50" t="s">
        <v>237</v>
      </c>
      <c r="G51" s="51">
        <v>840687431</v>
      </c>
      <c r="H51" s="51">
        <v>867088438.60000002</v>
      </c>
      <c r="I51" s="51">
        <v>867889561.10000002</v>
      </c>
      <c r="J51" s="51">
        <v>867889561.10000002</v>
      </c>
      <c r="K51" s="51">
        <v>867889561.10000002</v>
      </c>
      <c r="L51" s="51">
        <v>865230557.58630002</v>
      </c>
      <c r="M51" s="51">
        <f t="shared" ref="M51:M76" si="1">L51-N51</f>
        <v>1331446.3783000708</v>
      </c>
      <c r="N51" s="51">
        <v>863899111.20799994</v>
      </c>
      <c r="O51" s="73">
        <f t="shared" ref="O51:O114" si="2">IF(J51=0,0,N51/J51*100)</f>
        <v>99.54021224924719</v>
      </c>
      <c r="P51" s="73">
        <f t="shared" ref="P51:P114" si="3">IF(I51=0,0,N51/I51*100)</f>
        <v>99.54021224924719</v>
      </c>
    </row>
    <row r="52" spans="1:29">
      <c r="A52" s="74"/>
      <c r="B52" s="74" t="s">
        <v>238</v>
      </c>
      <c r="C52" s="74"/>
      <c r="D52" s="74"/>
      <c r="E52" s="74"/>
      <c r="F52" s="52" t="s">
        <v>239</v>
      </c>
      <c r="G52" s="53">
        <v>7941956</v>
      </c>
      <c r="H52" s="53">
        <v>7895288.4000000004</v>
      </c>
      <c r="I52" s="53">
        <v>7895288.4000000004</v>
      </c>
      <c r="J52" s="53">
        <v>7895288.4000000004</v>
      </c>
      <c r="K52" s="53">
        <v>7895288.4000000004</v>
      </c>
      <c r="L52" s="53">
        <v>7895230.8700000001</v>
      </c>
      <c r="M52" s="53">
        <f t="shared" si="1"/>
        <v>127.20569999981672</v>
      </c>
      <c r="N52" s="53">
        <v>7895103.6643000003</v>
      </c>
      <c r="O52" s="75">
        <f t="shared" si="2"/>
        <v>99.997660177935998</v>
      </c>
      <c r="P52" s="75">
        <f t="shared" si="3"/>
        <v>99.997660177935998</v>
      </c>
    </row>
    <row r="53" spans="1:29">
      <c r="A53" s="76"/>
      <c r="B53" s="76"/>
      <c r="C53" s="76" t="s">
        <v>240</v>
      </c>
      <c r="D53" s="76"/>
      <c r="E53" s="76"/>
      <c r="F53" s="86" t="s">
        <v>1</v>
      </c>
      <c r="G53" s="55">
        <v>4901726</v>
      </c>
      <c r="H53" s="55">
        <v>4784648</v>
      </c>
      <c r="I53" s="55">
        <v>4784648</v>
      </c>
      <c r="J53" s="55">
        <v>4784648</v>
      </c>
      <c r="K53" s="55">
        <v>4784648</v>
      </c>
      <c r="L53" s="55">
        <v>4784645.9693999998</v>
      </c>
      <c r="M53" s="55">
        <f t="shared" si="1"/>
        <v>0</v>
      </c>
      <c r="N53" s="55">
        <v>4784645.9693999998</v>
      </c>
      <c r="O53" s="77">
        <f t="shared" si="2"/>
        <v>99.999957560096377</v>
      </c>
      <c r="P53" s="77">
        <f t="shared" si="3"/>
        <v>99.999957560096377</v>
      </c>
    </row>
    <row r="54" spans="1:29">
      <c r="D54" s="186" t="s">
        <v>241</v>
      </c>
      <c r="F54" s="79" t="s">
        <v>242</v>
      </c>
      <c r="G54" s="56">
        <v>4901726</v>
      </c>
      <c r="H54" s="56">
        <v>4784648</v>
      </c>
      <c r="I54" s="56">
        <v>4784648</v>
      </c>
      <c r="J54" s="56">
        <v>4784648</v>
      </c>
      <c r="K54" s="56">
        <v>4784648</v>
      </c>
      <c r="L54" s="56">
        <v>4784645.9693999998</v>
      </c>
      <c r="M54" s="56">
        <f t="shared" si="1"/>
        <v>0</v>
      </c>
      <c r="N54" s="56">
        <v>4784645.9693999998</v>
      </c>
      <c r="O54" s="80">
        <f t="shared" si="2"/>
        <v>99.999957560096377</v>
      </c>
      <c r="P54" s="80">
        <f t="shared" si="3"/>
        <v>99.999957560096377</v>
      </c>
    </row>
    <row r="55" spans="1:29">
      <c r="A55" s="76"/>
      <c r="B55" s="76"/>
      <c r="C55" s="76" t="s">
        <v>322</v>
      </c>
      <c r="D55" s="76"/>
      <c r="E55" s="76"/>
      <c r="F55" s="103" t="s">
        <v>323</v>
      </c>
      <c r="G55" s="55">
        <v>2234564</v>
      </c>
      <c r="H55" s="55">
        <v>2296691</v>
      </c>
      <c r="I55" s="55">
        <v>2296691</v>
      </c>
      <c r="J55" s="55">
        <v>2296691</v>
      </c>
      <c r="K55" s="55">
        <v>2296691</v>
      </c>
      <c r="L55" s="55">
        <v>2296635.9619999998</v>
      </c>
      <c r="M55" s="55">
        <f t="shared" si="1"/>
        <v>127.20569999981672</v>
      </c>
      <c r="N55" s="55">
        <v>2296508.7563</v>
      </c>
      <c r="O55" s="77">
        <f t="shared" si="2"/>
        <v>99.992064944740065</v>
      </c>
      <c r="P55" s="77">
        <f t="shared" si="3"/>
        <v>99.992064944740065</v>
      </c>
    </row>
    <row r="56" spans="1:29" ht="42">
      <c r="D56" s="186" t="s">
        <v>285</v>
      </c>
      <c r="F56" s="79" t="s">
        <v>324</v>
      </c>
      <c r="G56" s="56">
        <v>2234564</v>
      </c>
      <c r="H56" s="56">
        <v>2296691</v>
      </c>
      <c r="I56" s="56">
        <v>2296691</v>
      </c>
      <c r="J56" s="56">
        <v>2296691</v>
      </c>
      <c r="K56" s="56">
        <v>2296691</v>
      </c>
      <c r="L56" s="56">
        <v>2296635.9619999998</v>
      </c>
      <c r="M56" s="56">
        <f t="shared" si="1"/>
        <v>127.20569999981672</v>
      </c>
      <c r="N56" s="56">
        <v>2296508.7563</v>
      </c>
      <c r="O56" s="80">
        <f t="shared" si="2"/>
        <v>99.992064944740065</v>
      </c>
      <c r="P56" s="80">
        <f t="shared" si="3"/>
        <v>99.992064944740065</v>
      </c>
    </row>
    <row r="57" spans="1:29">
      <c r="E57" s="78" t="s">
        <v>261</v>
      </c>
      <c r="F57" s="79" t="s">
        <v>325</v>
      </c>
      <c r="G57" s="56">
        <v>0</v>
      </c>
      <c r="H57" s="56">
        <v>0</v>
      </c>
      <c r="I57" s="56">
        <v>47659</v>
      </c>
      <c r="J57" s="56">
        <v>47659</v>
      </c>
      <c r="K57" s="56">
        <v>47659</v>
      </c>
      <c r="L57" s="56">
        <v>47604.671999999999</v>
      </c>
      <c r="M57" s="56">
        <f t="shared" si="1"/>
        <v>5.0199999968754128E-3</v>
      </c>
      <c r="N57" s="56">
        <v>47604.666980000002</v>
      </c>
      <c r="O57" s="80">
        <f t="shared" si="2"/>
        <v>99.885996307098353</v>
      </c>
      <c r="P57" s="80">
        <f t="shared" si="3"/>
        <v>99.885996307098353</v>
      </c>
    </row>
    <row r="58" spans="1:29">
      <c r="E58" s="78" t="s">
        <v>326</v>
      </c>
      <c r="F58" s="79" t="s">
        <v>327</v>
      </c>
      <c r="G58" s="56">
        <v>0</v>
      </c>
      <c r="H58" s="56">
        <v>0</v>
      </c>
      <c r="I58" s="56">
        <v>2249032</v>
      </c>
      <c r="J58" s="56">
        <v>2249032</v>
      </c>
      <c r="K58" s="56">
        <v>2249032</v>
      </c>
      <c r="L58" s="56">
        <v>2249031.2900399999</v>
      </c>
      <c r="M58" s="56">
        <f t="shared" si="1"/>
        <v>127.20069999992847</v>
      </c>
      <c r="N58" s="56">
        <v>2248904.0893399999</v>
      </c>
      <c r="O58" s="80">
        <f t="shared" si="2"/>
        <v>99.994312634946951</v>
      </c>
      <c r="P58" s="80">
        <f t="shared" si="3"/>
        <v>99.994312634946951</v>
      </c>
    </row>
    <row r="59" spans="1:29" ht="22.5">
      <c r="A59" s="76"/>
      <c r="B59" s="76"/>
      <c r="C59" s="76" t="s">
        <v>328</v>
      </c>
      <c r="D59" s="76"/>
      <c r="E59" s="76"/>
      <c r="F59" s="87" t="s">
        <v>329</v>
      </c>
      <c r="G59" s="55">
        <v>805666</v>
      </c>
      <c r="H59" s="55">
        <v>813949.4</v>
      </c>
      <c r="I59" s="55">
        <v>813949.4</v>
      </c>
      <c r="J59" s="55">
        <v>813949.4</v>
      </c>
      <c r="K59" s="55">
        <v>813949.4</v>
      </c>
      <c r="L59" s="55">
        <v>813948.93859999999</v>
      </c>
      <c r="M59" s="55">
        <f t="shared" si="1"/>
        <v>0</v>
      </c>
      <c r="N59" s="55">
        <v>813948.93859999999</v>
      </c>
      <c r="O59" s="77">
        <f t="shared" si="2"/>
        <v>99.999943313429554</v>
      </c>
      <c r="P59" s="77">
        <f t="shared" si="3"/>
        <v>99.999943313429554</v>
      </c>
      <c r="S59" s="49" t="s">
        <v>1433</v>
      </c>
      <c r="T59" s="49">
        <v>11</v>
      </c>
      <c r="U59" s="56">
        <f>N57+N88+N91+N94+N97+N101+N104+N107+N110+N118+N121+N123+N126+N129+N132+N135+N138+N140+N144+N147+N149+N151+N153+N156+N158+N161+N163+N173+N176+N179+N188+N186+N191+N196+N199+N203+N206+N229+N232+N235+N239+N274+N277+N280</f>
        <v>329944158.06316006</v>
      </c>
      <c r="W59" s="56">
        <f>SUM(U59:U60)</f>
        <v>494145795.29262006</v>
      </c>
    </row>
    <row r="60" spans="1:29" ht="42">
      <c r="D60" s="186" t="s">
        <v>285</v>
      </c>
      <c r="F60" s="79" t="s">
        <v>330</v>
      </c>
      <c r="G60" s="56">
        <v>805666</v>
      </c>
      <c r="H60" s="56">
        <v>813949.4</v>
      </c>
      <c r="I60" s="56">
        <v>813949.4</v>
      </c>
      <c r="J60" s="56">
        <v>813949.4</v>
      </c>
      <c r="K60" s="56">
        <v>813949.4</v>
      </c>
      <c r="L60" s="56">
        <v>813948.93859999999</v>
      </c>
      <c r="M60" s="56">
        <f t="shared" si="1"/>
        <v>0</v>
      </c>
      <c r="N60" s="56">
        <v>813948.93859999999</v>
      </c>
      <c r="O60" s="80">
        <f t="shared" si="2"/>
        <v>99.999943313429554</v>
      </c>
      <c r="P60" s="80">
        <f t="shared" si="3"/>
        <v>99.999943313429554</v>
      </c>
      <c r="T60" s="49">
        <v>15</v>
      </c>
      <c r="U60" s="56">
        <f>N58+N62+N89+N92+N95+N102+N105+N108+N119+N124+N127+N130+N133+N136+N141+N145+N154+N159+N164+N174+N177+N180+N189+N192+N197+N200+N204+N207+N230+N233+N236+N240+N243+N246+N275+N278+N281+N284+N286+N289</f>
        <v>164201637.22945997</v>
      </c>
    </row>
    <row r="61" spans="1:29">
      <c r="E61" s="78" t="s">
        <v>261</v>
      </c>
      <c r="F61" s="79" t="s">
        <v>325</v>
      </c>
      <c r="G61" s="56">
        <v>0</v>
      </c>
      <c r="H61" s="56">
        <v>0</v>
      </c>
      <c r="I61" s="56">
        <v>32078</v>
      </c>
      <c r="J61" s="56">
        <v>32078</v>
      </c>
      <c r="K61" s="56">
        <v>32078</v>
      </c>
      <c r="L61" s="56">
        <v>32078</v>
      </c>
      <c r="M61" s="56">
        <f t="shared" si="1"/>
        <v>0</v>
      </c>
      <c r="N61" s="56">
        <v>32078</v>
      </c>
      <c r="O61" s="80">
        <f t="shared" si="2"/>
        <v>100</v>
      </c>
      <c r="P61" s="80">
        <f t="shared" si="3"/>
        <v>100</v>
      </c>
    </row>
    <row r="62" spans="1:29" ht="12">
      <c r="E62" s="78" t="s">
        <v>326</v>
      </c>
      <c r="F62" s="79" t="s">
        <v>327</v>
      </c>
      <c r="G62" s="56">
        <v>0</v>
      </c>
      <c r="H62" s="56">
        <v>0</v>
      </c>
      <c r="I62" s="56">
        <v>781871.4</v>
      </c>
      <c r="J62" s="56">
        <v>781871.4</v>
      </c>
      <c r="K62" s="56">
        <v>781871.4</v>
      </c>
      <c r="L62" s="56">
        <v>781870.93859000003</v>
      </c>
      <c r="M62" s="56">
        <f t="shared" si="1"/>
        <v>0</v>
      </c>
      <c r="N62" s="56">
        <v>781870.93859000003</v>
      </c>
      <c r="O62" s="80">
        <f t="shared" si="2"/>
        <v>99.999940986458896</v>
      </c>
      <c r="P62" s="80">
        <f t="shared" si="3"/>
        <v>99.999940986458896</v>
      </c>
      <c r="S62" s="195" t="s">
        <v>18</v>
      </c>
      <c r="T62" s="1316" t="s">
        <v>19</v>
      </c>
      <c r="U62" s="1316"/>
      <c r="V62" s="1316"/>
      <c r="W62" s="1316"/>
      <c r="X62" s="1316"/>
      <c r="Y62" s="1316"/>
      <c r="Z62" s="1316"/>
      <c r="AA62" s="1316"/>
      <c r="AB62" s="196">
        <f>SUM(AB63:AB69)</f>
        <v>322219722.87689996</v>
      </c>
      <c r="AC62" s="194"/>
    </row>
    <row r="63" spans="1:29" ht="12">
      <c r="A63" s="74"/>
      <c r="B63" s="74" t="s">
        <v>243</v>
      </c>
      <c r="C63" s="74"/>
      <c r="D63" s="74"/>
      <c r="E63" s="74"/>
      <c r="F63" s="52" t="s">
        <v>244</v>
      </c>
      <c r="G63" s="53">
        <v>286743437</v>
      </c>
      <c r="H63" s="53">
        <v>277809912.39999998</v>
      </c>
      <c r="I63" s="53">
        <v>277799944.89999998</v>
      </c>
      <c r="J63" s="53">
        <v>277799944.89999998</v>
      </c>
      <c r="K63" s="53">
        <v>277799944.89999998</v>
      </c>
      <c r="L63" s="53">
        <v>277736090.20139998</v>
      </c>
      <c r="M63" s="53">
        <f t="shared" si="1"/>
        <v>253446.54799997807</v>
      </c>
      <c r="N63" s="53">
        <v>277482643.6534</v>
      </c>
      <c r="O63" s="75">
        <f t="shared" si="2"/>
        <v>99.885780666114172</v>
      </c>
      <c r="P63" s="75">
        <f t="shared" si="3"/>
        <v>99.885780666114172</v>
      </c>
      <c r="S63" s="197" t="s">
        <v>20</v>
      </c>
      <c r="T63" s="1317" t="s">
        <v>252</v>
      </c>
      <c r="U63" s="1317"/>
      <c r="V63" s="1317"/>
      <c r="W63" s="1317"/>
      <c r="X63" s="1317"/>
      <c r="Y63" s="1317"/>
      <c r="Z63" s="1317"/>
      <c r="AA63" s="1317"/>
      <c r="AB63" s="198">
        <f>N69+N70+N78+N216+N217+N219+N220+N223+N225+N226+P39</f>
        <v>289822919.24699998</v>
      </c>
      <c r="AC63" s="194"/>
    </row>
    <row r="64" spans="1:29" ht="12">
      <c r="A64" s="76"/>
      <c r="B64" s="76"/>
      <c r="C64" s="76" t="s">
        <v>245</v>
      </c>
      <c r="D64" s="76"/>
      <c r="E64" s="76"/>
      <c r="F64" s="104" t="s">
        <v>0</v>
      </c>
      <c r="G64" s="55">
        <v>0</v>
      </c>
      <c r="H64" s="55">
        <v>0</v>
      </c>
      <c r="I64" s="55">
        <v>894960</v>
      </c>
      <c r="J64" s="55">
        <v>894960</v>
      </c>
      <c r="K64" s="55">
        <v>894960</v>
      </c>
      <c r="L64" s="55">
        <v>894958.96329999994</v>
      </c>
      <c r="M64" s="55">
        <f t="shared" si="1"/>
        <v>28196.000999999931</v>
      </c>
      <c r="N64" s="55">
        <v>866762.96230000001</v>
      </c>
      <c r="O64" s="77">
        <f t="shared" si="2"/>
        <v>96.8493521833378</v>
      </c>
      <c r="P64" s="77">
        <f t="shared" si="3"/>
        <v>96.8493521833378</v>
      </c>
      <c r="S64" s="197" t="s">
        <v>21</v>
      </c>
      <c r="T64" s="1317" t="s">
        <v>0</v>
      </c>
      <c r="U64" s="1317"/>
      <c r="V64" s="1317"/>
      <c r="W64" s="1317"/>
      <c r="X64" s="1317"/>
      <c r="Y64" s="1317"/>
      <c r="Z64" s="1317"/>
      <c r="AA64" s="1317"/>
      <c r="AB64" s="198">
        <f>N64+N213</f>
        <v>5018377.3731000004</v>
      </c>
      <c r="AC64" s="194"/>
    </row>
    <row r="65" spans="1:29" ht="21">
      <c r="D65" s="180" t="s">
        <v>246</v>
      </c>
      <c r="F65" s="79" t="s">
        <v>247</v>
      </c>
      <c r="G65" s="56">
        <v>0</v>
      </c>
      <c r="H65" s="56">
        <v>0</v>
      </c>
      <c r="I65" s="56">
        <v>894960</v>
      </c>
      <c r="J65" s="56">
        <v>894960</v>
      </c>
      <c r="K65" s="56">
        <v>894960</v>
      </c>
      <c r="L65" s="56">
        <v>894958.96329999994</v>
      </c>
      <c r="M65" s="56">
        <f t="shared" si="1"/>
        <v>28196.000999999931</v>
      </c>
      <c r="N65" s="56">
        <v>866762.96230000001</v>
      </c>
      <c r="O65" s="80">
        <f t="shared" si="2"/>
        <v>96.8493521833378</v>
      </c>
      <c r="P65" s="80">
        <f t="shared" si="3"/>
        <v>96.8493521833378</v>
      </c>
      <c r="S65" s="197" t="s">
        <v>22</v>
      </c>
      <c r="T65" s="1317" t="s">
        <v>2</v>
      </c>
      <c r="U65" s="1317"/>
      <c r="V65" s="1317"/>
      <c r="W65" s="1317"/>
      <c r="X65" s="1317"/>
      <c r="Y65" s="1317"/>
      <c r="Z65" s="1317"/>
      <c r="AA65" s="1317"/>
      <c r="AB65" s="198">
        <f>N66</f>
        <v>509741.72810000001</v>
      </c>
      <c r="AC65" s="194"/>
    </row>
    <row r="66" spans="1:29" ht="12">
      <c r="A66" s="76"/>
      <c r="B66" s="76"/>
      <c r="C66" s="76" t="s">
        <v>248</v>
      </c>
      <c r="D66" s="76"/>
      <c r="E66" s="76"/>
      <c r="F66" s="89" t="s">
        <v>2</v>
      </c>
      <c r="G66" s="55">
        <v>553284</v>
      </c>
      <c r="H66" s="55">
        <v>509742</v>
      </c>
      <c r="I66" s="55">
        <v>509742</v>
      </c>
      <c r="J66" s="55">
        <v>509742</v>
      </c>
      <c r="K66" s="55">
        <v>509742</v>
      </c>
      <c r="L66" s="55">
        <v>509741.72810000001</v>
      </c>
      <c r="M66" s="55">
        <f t="shared" si="1"/>
        <v>0</v>
      </c>
      <c r="N66" s="55">
        <v>509741.72810000001</v>
      </c>
      <c r="O66" s="77">
        <f t="shared" si="2"/>
        <v>99.999946659290387</v>
      </c>
      <c r="P66" s="77">
        <f t="shared" si="3"/>
        <v>99.999946659290387</v>
      </c>
      <c r="S66" s="197" t="s">
        <v>23</v>
      </c>
      <c r="T66" s="1317" t="s">
        <v>1</v>
      </c>
      <c r="U66" s="1317"/>
      <c r="V66" s="1317"/>
      <c r="W66" s="1317"/>
      <c r="X66" s="1317"/>
      <c r="Y66" s="1317"/>
      <c r="Z66" s="1317"/>
      <c r="AA66" s="1317"/>
      <c r="AB66" s="198">
        <f>N54</f>
        <v>4784645.9693999998</v>
      </c>
      <c r="AC66" s="194"/>
    </row>
    <row r="67" spans="1:29" ht="12">
      <c r="D67" s="186" t="s">
        <v>249</v>
      </c>
      <c r="F67" s="79" t="s">
        <v>250</v>
      </c>
      <c r="G67" s="56">
        <v>553284</v>
      </c>
      <c r="H67" s="56">
        <v>509742</v>
      </c>
      <c r="I67" s="56">
        <v>509742</v>
      </c>
      <c r="J67" s="56">
        <v>509742</v>
      </c>
      <c r="K67" s="56">
        <v>509742</v>
      </c>
      <c r="L67" s="56">
        <v>509741.72810000001</v>
      </c>
      <c r="M67" s="56">
        <f t="shared" si="1"/>
        <v>0</v>
      </c>
      <c r="N67" s="56">
        <v>509741.72810000001</v>
      </c>
      <c r="O67" s="80">
        <f t="shared" si="2"/>
        <v>99.999946659290387</v>
      </c>
      <c r="P67" s="80">
        <f t="shared" si="3"/>
        <v>99.999946659290387</v>
      </c>
      <c r="S67" s="197" t="s">
        <v>24</v>
      </c>
      <c r="T67" s="1317" t="s">
        <v>3</v>
      </c>
      <c r="U67" s="1317"/>
      <c r="V67" s="1317"/>
      <c r="W67" s="1317"/>
      <c r="X67" s="1317"/>
      <c r="Y67" s="1317"/>
      <c r="Z67" s="1317"/>
      <c r="AA67" s="1317"/>
      <c r="AB67" s="198">
        <f>N113+N114+N302+N303</f>
        <v>10313518.012700001</v>
      </c>
      <c r="AC67" s="194"/>
    </row>
    <row r="68" spans="1:29" ht="22.5">
      <c r="A68" s="76"/>
      <c r="B68" s="76"/>
      <c r="C68" s="76" t="s">
        <v>251</v>
      </c>
      <c r="D68" s="76"/>
      <c r="E68" s="76"/>
      <c r="F68" s="100" t="s">
        <v>252</v>
      </c>
      <c r="G68" s="55">
        <v>249317650</v>
      </c>
      <c r="H68" s="55">
        <v>241628553</v>
      </c>
      <c r="I68" s="55">
        <v>240576953</v>
      </c>
      <c r="J68" s="55">
        <v>240576953</v>
      </c>
      <c r="K68" s="55">
        <v>240576953</v>
      </c>
      <c r="L68" s="55">
        <v>240514582.3396</v>
      </c>
      <c r="M68" s="55">
        <f t="shared" si="1"/>
        <v>215059.65250000358</v>
      </c>
      <c r="N68" s="55">
        <v>240299522.68709999</v>
      </c>
      <c r="O68" s="77">
        <f t="shared" si="2"/>
        <v>99.884681259181136</v>
      </c>
      <c r="P68" s="77">
        <f t="shared" si="3"/>
        <v>99.884681259181136</v>
      </c>
      <c r="S68" s="197" t="s">
        <v>610</v>
      </c>
      <c r="T68" s="1317" t="s">
        <v>276</v>
      </c>
      <c r="U68" s="1317"/>
      <c r="V68" s="1317"/>
      <c r="W68" s="1317"/>
      <c r="X68" s="1317"/>
      <c r="Y68" s="1317"/>
      <c r="Z68" s="1317"/>
      <c r="AA68" s="1317"/>
      <c r="AB68" s="198">
        <f>N80</f>
        <v>57194.870900000002</v>
      </c>
      <c r="AC68" s="194"/>
    </row>
    <row r="69" spans="1:29" ht="12">
      <c r="D69" s="186" t="s">
        <v>253</v>
      </c>
      <c r="F69" s="101" t="s">
        <v>254</v>
      </c>
      <c r="G69" s="56">
        <v>42941</v>
      </c>
      <c r="H69" s="56">
        <v>37250</v>
      </c>
      <c r="I69" s="56">
        <v>37250</v>
      </c>
      <c r="J69" s="56">
        <v>37250</v>
      </c>
      <c r="K69" s="56">
        <v>37250</v>
      </c>
      <c r="L69" s="56">
        <v>37249.874000000003</v>
      </c>
      <c r="M69" s="56">
        <f t="shared" si="1"/>
        <v>1.0000000038417056E-3</v>
      </c>
      <c r="N69" s="83">
        <v>37249.873</v>
      </c>
      <c r="O69" s="80">
        <f t="shared" si="2"/>
        <v>99.999659060402678</v>
      </c>
      <c r="P69" s="80">
        <f t="shared" si="3"/>
        <v>99.999659060402678</v>
      </c>
      <c r="S69" s="197" t="s">
        <v>611</v>
      </c>
      <c r="T69" s="1317" t="s">
        <v>278</v>
      </c>
      <c r="U69" s="1317"/>
      <c r="V69" s="1317"/>
      <c r="W69" s="1317"/>
      <c r="X69" s="1317"/>
      <c r="Y69" s="1317"/>
      <c r="Z69" s="1317"/>
      <c r="AA69" s="1317"/>
      <c r="AB69" s="198">
        <f>N84+N85</f>
        <v>11713325.6757</v>
      </c>
      <c r="AC69" s="194"/>
    </row>
    <row r="70" spans="1:29" ht="21">
      <c r="D70" s="186" t="s">
        <v>261</v>
      </c>
      <c r="F70" s="101" t="s">
        <v>262</v>
      </c>
      <c r="G70" s="56">
        <v>247622359</v>
      </c>
      <c r="H70" s="56">
        <v>240475761</v>
      </c>
      <c r="I70" s="56">
        <v>240475761</v>
      </c>
      <c r="J70" s="56">
        <v>240475761</v>
      </c>
      <c r="K70" s="56">
        <v>240475761</v>
      </c>
      <c r="L70" s="56">
        <v>240413391.204</v>
      </c>
      <c r="M70" s="56">
        <f t="shared" si="1"/>
        <v>215059.65149998665</v>
      </c>
      <c r="N70" s="83">
        <v>240198331.55250001</v>
      </c>
      <c r="O70" s="80">
        <f t="shared" si="2"/>
        <v>99.884633093020966</v>
      </c>
      <c r="P70" s="80">
        <f t="shared" si="3"/>
        <v>99.884633093020966</v>
      </c>
    </row>
    <row r="71" spans="1:29">
      <c r="E71" s="78" t="s">
        <v>257</v>
      </c>
      <c r="F71" s="101" t="s">
        <v>263</v>
      </c>
      <c r="G71" s="56">
        <v>0</v>
      </c>
      <c r="H71" s="56">
        <v>0</v>
      </c>
      <c r="I71" s="56">
        <v>176908487</v>
      </c>
      <c r="J71" s="56">
        <v>176908487</v>
      </c>
      <c r="K71" s="56">
        <v>176908487</v>
      </c>
      <c r="L71" s="56">
        <v>176908484.61289999</v>
      </c>
      <c r="M71" s="56">
        <f t="shared" si="1"/>
        <v>3.9997696876525879E-4</v>
      </c>
      <c r="N71" s="83">
        <v>176908484.61250001</v>
      </c>
      <c r="O71" s="80">
        <f t="shared" si="2"/>
        <v>99.999998650432204</v>
      </c>
      <c r="P71" s="80">
        <f t="shared" si="3"/>
        <v>99.999998650432204</v>
      </c>
    </row>
    <row r="72" spans="1:29">
      <c r="E72" s="78" t="s">
        <v>259</v>
      </c>
      <c r="F72" s="101" t="s">
        <v>264</v>
      </c>
      <c r="G72" s="56">
        <v>0</v>
      </c>
      <c r="H72" s="56">
        <v>0</v>
      </c>
      <c r="I72" s="56">
        <v>51211249</v>
      </c>
      <c r="J72" s="56">
        <v>51211249</v>
      </c>
      <c r="K72" s="56">
        <v>51211249</v>
      </c>
      <c r="L72" s="56">
        <v>51210409.013899997</v>
      </c>
      <c r="M72" s="56">
        <f t="shared" si="1"/>
        <v>215059.65109999478</v>
      </c>
      <c r="N72" s="83">
        <v>50995349.362800002</v>
      </c>
      <c r="O72" s="80">
        <f t="shared" si="2"/>
        <v>99.578413646579875</v>
      </c>
      <c r="P72" s="80">
        <f t="shared" si="3"/>
        <v>99.578413646579875</v>
      </c>
    </row>
    <row r="73" spans="1:29" ht="38.25">
      <c r="E73" s="78" t="s">
        <v>265</v>
      </c>
      <c r="F73" s="101" t="s">
        <v>266</v>
      </c>
      <c r="G73" s="56">
        <v>0</v>
      </c>
      <c r="H73" s="56">
        <v>0</v>
      </c>
      <c r="I73" s="56">
        <v>5441435</v>
      </c>
      <c r="J73" s="56">
        <v>5441435</v>
      </c>
      <c r="K73" s="56">
        <v>5441435</v>
      </c>
      <c r="L73" s="56">
        <v>5441435</v>
      </c>
      <c r="M73" s="56">
        <f t="shared" si="1"/>
        <v>0</v>
      </c>
      <c r="N73" s="83">
        <v>5441435</v>
      </c>
      <c r="O73" s="80">
        <f t="shared" si="2"/>
        <v>100</v>
      </c>
      <c r="P73" s="80">
        <f t="shared" si="3"/>
        <v>100</v>
      </c>
      <c r="U73" s="438" t="s">
        <v>1869</v>
      </c>
      <c r="V73" s="439">
        <v>91560</v>
      </c>
    </row>
    <row r="74" spans="1:29" ht="38.25">
      <c r="E74" s="78" t="s">
        <v>267</v>
      </c>
      <c r="F74" s="101" t="s">
        <v>268</v>
      </c>
      <c r="G74" s="56">
        <v>0</v>
      </c>
      <c r="H74" s="56">
        <v>0</v>
      </c>
      <c r="I74" s="56">
        <v>4089283</v>
      </c>
      <c r="J74" s="56">
        <v>4089283</v>
      </c>
      <c r="K74" s="56">
        <v>4089283</v>
      </c>
      <c r="L74" s="56">
        <v>4089283</v>
      </c>
      <c r="M74" s="56">
        <f t="shared" si="1"/>
        <v>0</v>
      </c>
      <c r="N74" s="83">
        <v>4089283</v>
      </c>
      <c r="O74" s="80">
        <f t="shared" si="2"/>
        <v>100</v>
      </c>
      <c r="P74" s="80">
        <f t="shared" si="3"/>
        <v>100</v>
      </c>
      <c r="U74" s="438" t="s">
        <v>1870</v>
      </c>
      <c r="V74" s="439">
        <v>177619.992</v>
      </c>
    </row>
    <row r="75" spans="1:29">
      <c r="E75" s="78" t="s">
        <v>269</v>
      </c>
      <c r="F75" s="101" t="s">
        <v>270</v>
      </c>
      <c r="G75" s="56">
        <v>0</v>
      </c>
      <c r="H75" s="56">
        <v>0</v>
      </c>
      <c r="I75" s="56">
        <v>170217</v>
      </c>
      <c r="J75" s="56">
        <v>170217</v>
      </c>
      <c r="K75" s="56">
        <v>170217</v>
      </c>
      <c r="L75" s="56">
        <v>170216.96400000001</v>
      </c>
      <c r="M75" s="56">
        <f t="shared" si="1"/>
        <v>0</v>
      </c>
      <c r="N75" s="83">
        <v>170216.96400000001</v>
      </c>
      <c r="O75" s="80">
        <f t="shared" si="2"/>
        <v>99.999978850526091</v>
      </c>
      <c r="P75" s="80">
        <f t="shared" si="3"/>
        <v>99.999978850526091</v>
      </c>
    </row>
    <row r="76" spans="1:29" ht="21">
      <c r="E76" s="78" t="s">
        <v>271</v>
      </c>
      <c r="F76" s="101" t="s">
        <v>272</v>
      </c>
      <c r="G76" s="56">
        <v>0</v>
      </c>
      <c r="H76" s="56">
        <v>0</v>
      </c>
      <c r="I76" s="56">
        <v>2655090</v>
      </c>
      <c r="J76" s="56">
        <v>2655090</v>
      </c>
      <c r="K76" s="56">
        <v>2655090</v>
      </c>
      <c r="L76" s="56">
        <v>2593562.6132700001</v>
      </c>
      <c r="M76" s="56">
        <f t="shared" si="1"/>
        <v>0</v>
      </c>
      <c r="N76" s="83">
        <v>2593562.6132700001</v>
      </c>
      <c r="O76" s="80">
        <f t="shared" si="2"/>
        <v>97.682662857756242</v>
      </c>
      <c r="P76" s="80">
        <f t="shared" si="3"/>
        <v>97.682662857756242</v>
      </c>
      <c r="U76" s="49" t="s">
        <v>1871</v>
      </c>
      <c r="V76" s="440">
        <f>SUM(V73:V75)</f>
        <v>269179.99199999997</v>
      </c>
    </row>
    <row r="77" spans="1:29" ht="21">
      <c r="D77" s="186" t="s">
        <v>326</v>
      </c>
      <c r="F77" s="101" t="s">
        <v>510</v>
      </c>
      <c r="G77" s="56">
        <v>1652350</v>
      </c>
      <c r="H77" s="56">
        <v>1115542</v>
      </c>
      <c r="I77" s="56">
        <v>0</v>
      </c>
      <c r="J77" s="56">
        <v>0</v>
      </c>
      <c r="K77" s="56"/>
      <c r="L77" s="56"/>
      <c r="M77" s="56"/>
      <c r="N77" s="83">
        <v>0</v>
      </c>
      <c r="O77" s="80">
        <f t="shared" si="2"/>
        <v>0</v>
      </c>
      <c r="P77" s="80">
        <f t="shared" si="3"/>
        <v>0</v>
      </c>
    </row>
    <row r="78" spans="1:29" ht="21">
      <c r="D78" s="180" t="s">
        <v>246</v>
      </c>
      <c r="F78" s="101" t="s">
        <v>247</v>
      </c>
      <c r="G78" s="56">
        <v>0</v>
      </c>
      <c r="H78" s="56">
        <v>0</v>
      </c>
      <c r="I78" s="56">
        <v>63942</v>
      </c>
      <c r="J78" s="56">
        <v>63942</v>
      </c>
      <c r="K78" s="56">
        <v>63942</v>
      </c>
      <c r="L78" s="56">
        <v>63941.261599999998</v>
      </c>
      <c r="M78" s="56">
        <f t="shared" ref="M78:M141" si="4">L78-N78</f>
        <v>0</v>
      </c>
      <c r="N78" s="83">
        <v>63941.261599999998</v>
      </c>
      <c r="O78" s="80">
        <f t="shared" si="2"/>
        <v>99.998845203465635</v>
      </c>
      <c r="P78" s="80">
        <f t="shared" si="3"/>
        <v>99.998845203465635</v>
      </c>
    </row>
    <row r="79" spans="1:29">
      <c r="A79" s="76"/>
      <c r="B79" s="76"/>
      <c r="C79" s="76" t="s">
        <v>275</v>
      </c>
      <c r="D79" s="76"/>
      <c r="E79" s="76"/>
      <c r="F79" s="102" t="s">
        <v>276</v>
      </c>
      <c r="G79" s="55">
        <v>0</v>
      </c>
      <c r="H79" s="55">
        <v>0</v>
      </c>
      <c r="I79" s="55">
        <v>57196</v>
      </c>
      <c r="J79" s="55">
        <v>57196</v>
      </c>
      <c r="K79" s="55">
        <v>57196</v>
      </c>
      <c r="L79" s="55">
        <v>57194.870900000002</v>
      </c>
      <c r="M79" s="55">
        <f t="shared" si="4"/>
        <v>0</v>
      </c>
      <c r="N79" s="55">
        <v>57194.870900000002</v>
      </c>
      <c r="O79" s="77">
        <f t="shared" si="2"/>
        <v>99.998025910902868</v>
      </c>
      <c r="P79" s="77">
        <f t="shared" si="3"/>
        <v>99.998025910902868</v>
      </c>
    </row>
    <row r="80" spans="1:29" ht="21">
      <c r="D80" s="180" t="s">
        <v>246</v>
      </c>
      <c r="F80" s="79" t="s">
        <v>247</v>
      </c>
      <c r="G80" s="56">
        <v>0</v>
      </c>
      <c r="H80" s="56">
        <v>0</v>
      </c>
      <c r="I80" s="56">
        <v>57196</v>
      </c>
      <c r="J80" s="56">
        <v>57196</v>
      </c>
      <c r="K80" s="56">
        <v>57196</v>
      </c>
      <c r="L80" s="56">
        <v>57194.870900000002</v>
      </c>
      <c r="M80" s="56">
        <f t="shared" si="4"/>
        <v>0</v>
      </c>
      <c r="N80" s="56">
        <v>57194.870900000002</v>
      </c>
      <c r="O80" s="80">
        <f t="shared" si="2"/>
        <v>99.998025910902868</v>
      </c>
      <c r="P80" s="80">
        <f t="shared" si="3"/>
        <v>99.998025910902868</v>
      </c>
    </row>
    <row r="81" spans="1:19">
      <c r="A81" s="76"/>
      <c r="B81" s="76"/>
      <c r="C81" s="76" t="s">
        <v>572</v>
      </c>
      <c r="D81" s="76"/>
      <c r="E81" s="76"/>
      <c r="F81" s="190" t="s">
        <v>573</v>
      </c>
      <c r="G81" s="55">
        <v>0</v>
      </c>
      <c r="H81" s="55">
        <v>0</v>
      </c>
      <c r="I81" s="55">
        <v>66720</v>
      </c>
      <c r="J81" s="55">
        <v>66720</v>
      </c>
      <c r="K81" s="55">
        <v>66720</v>
      </c>
      <c r="L81" s="55">
        <v>66720</v>
      </c>
      <c r="M81" s="55">
        <f t="shared" si="4"/>
        <v>0</v>
      </c>
      <c r="N81" s="55">
        <v>66720</v>
      </c>
      <c r="O81" s="77">
        <f t="shared" si="2"/>
        <v>100</v>
      </c>
      <c r="P81" s="77">
        <f t="shared" si="3"/>
        <v>100</v>
      </c>
    </row>
    <row r="82" spans="1:19" ht="21">
      <c r="D82" s="180" t="s">
        <v>246</v>
      </c>
      <c r="F82" s="79" t="s">
        <v>247</v>
      </c>
      <c r="G82" s="56">
        <v>0</v>
      </c>
      <c r="H82" s="56">
        <v>0</v>
      </c>
      <c r="I82" s="56">
        <v>66720</v>
      </c>
      <c r="J82" s="56">
        <v>66720</v>
      </c>
      <c r="K82" s="56">
        <v>66720</v>
      </c>
      <c r="L82" s="56">
        <v>66720</v>
      </c>
      <c r="M82" s="56">
        <f t="shared" si="4"/>
        <v>0</v>
      </c>
      <c r="N82" s="56">
        <v>66720</v>
      </c>
      <c r="O82" s="80">
        <f t="shared" si="2"/>
        <v>100</v>
      </c>
      <c r="P82" s="80">
        <f t="shared" si="3"/>
        <v>100</v>
      </c>
    </row>
    <row r="83" spans="1:19">
      <c r="A83" s="76"/>
      <c r="B83" s="76"/>
      <c r="C83" s="76" t="s">
        <v>277</v>
      </c>
      <c r="D83" s="76"/>
      <c r="E83" s="76"/>
      <c r="F83" s="106" t="s">
        <v>278</v>
      </c>
      <c r="G83" s="55">
        <v>12554698</v>
      </c>
      <c r="H83" s="55">
        <v>11713327</v>
      </c>
      <c r="I83" s="55">
        <v>11713327</v>
      </c>
      <c r="J83" s="55">
        <v>11713327</v>
      </c>
      <c r="K83" s="55">
        <v>11713327</v>
      </c>
      <c r="L83" s="55">
        <v>11713325.738600001</v>
      </c>
      <c r="M83" s="55">
        <f t="shared" si="4"/>
        <v>6.2900001183152199E-2</v>
      </c>
      <c r="N83" s="55">
        <v>11713325.6757</v>
      </c>
      <c r="O83" s="77">
        <f t="shared" si="2"/>
        <v>99.999988694074702</v>
      </c>
      <c r="P83" s="77">
        <f t="shared" si="3"/>
        <v>99.999988694074702</v>
      </c>
    </row>
    <row r="84" spans="1:19">
      <c r="D84" s="186" t="s">
        <v>279</v>
      </c>
      <c r="F84" s="79" t="s">
        <v>280</v>
      </c>
      <c r="G84" s="56">
        <v>12280229</v>
      </c>
      <c r="H84" s="56">
        <v>11438858</v>
      </c>
      <c r="I84" s="56">
        <v>11438858</v>
      </c>
      <c r="J84" s="56">
        <v>11438858</v>
      </c>
      <c r="K84" s="56">
        <v>11438858</v>
      </c>
      <c r="L84" s="56">
        <v>11438856.738600001</v>
      </c>
      <c r="M84" s="56">
        <f t="shared" si="4"/>
        <v>6.2900001183152199E-2</v>
      </c>
      <c r="N84" s="56">
        <v>11438856.6757</v>
      </c>
      <c r="O84" s="80">
        <f t="shared" si="2"/>
        <v>99.999988422795354</v>
      </c>
      <c r="P84" s="80">
        <f t="shared" si="3"/>
        <v>99.999988422795354</v>
      </c>
    </row>
    <row r="85" spans="1:19" ht="21">
      <c r="D85" s="186" t="s">
        <v>1486</v>
      </c>
      <c r="F85" s="79" t="s">
        <v>1487</v>
      </c>
      <c r="G85" s="56">
        <v>274469</v>
      </c>
      <c r="H85" s="56">
        <v>274469</v>
      </c>
      <c r="I85" s="56">
        <v>274469</v>
      </c>
      <c r="J85" s="56">
        <v>274469</v>
      </c>
      <c r="K85" s="56">
        <v>274469</v>
      </c>
      <c r="L85" s="56">
        <v>274469</v>
      </c>
      <c r="M85" s="56">
        <f t="shared" si="4"/>
        <v>0</v>
      </c>
      <c r="N85" s="56">
        <v>274469</v>
      </c>
      <c r="O85" s="80">
        <f t="shared" si="2"/>
        <v>100</v>
      </c>
      <c r="P85" s="80">
        <f t="shared" si="3"/>
        <v>100</v>
      </c>
    </row>
    <row r="86" spans="1:19">
      <c r="A86" s="76"/>
      <c r="B86" s="76"/>
      <c r="C86" s="76" t="s">
        <v>322</v>
      </c>
      <c r="D86" s="76"/>
      <c r="E86" s="76"/>
      <c r="F86" s="103" t="s">
        <v>323</v>
      </c>
      <c r="G86" s="55">
        <v>12475362</v>
      </c>
      <c r="H86" s="55">
        <v>12000686.6</v>
      </c>
      <c r="I86" s="55">
        <v>12020511.1</v>
      </c>
      <c r="J86" s="55">
        <v>12020511.1</v>
      </c>
      <c r="K86" s="55">
        <v>12020511.1</v>
      </c>
      <c r="L86" s="55">
        <v>12019048.9068</v>
      </c>
      <c r="M86" s="55">
        <f t="shared" si="4"/>
        <v>10150.694399999455</v>
      </c>
      <c r="N86" s="55">
        <v>12008898.212400001</v>
      </c>
      <c r="O86" s="77">
        <f t="shared" si="2"/>
        <v>99.90339106629169</v>
      </c>
      <c r="P86" s="77">
        <f t="shared" si="3"/>
        <v>99.90339106629169</v>
      </c>
    </row>
    <row r="87" spans="1:19" ht="21">
      <c r="D87" s="186" t="s">
        <v>318</v>
      </c>
      <c r="F87" s="79" t="s">
        <v>331</v>
      </c>
      <c r="G87" s="56">
        <v>7507936</v>
      </c>
      <c r="H87" s="56">
        <v>7470856</v>
      </c>
      <c r="I87" s="56">
        <v>7467016</v>
      </c>
      <c r="J87" s="56">
        <v>7467016</v>
      </c>
      <c r="K87" s="56">
        <v>7467016</v>
      </c>
      <c r="L87" s="56">
        <v>7467012.6595999999</v>
      </c>
      <c r="M87" s="56">
        <f t="shared" si="4"/>
        <v>9039.660000000149</v>
      </c>
      <c r="N87" s="56">
        <v>7457972.9995999997</v>
      </c>
      <c r="O87" s="80">
        <f t="shared" si="2"/>
        <v>99.878894053528214</v>
      </c>
      <c r="P87" s="80">
        <f t="shared" si="3"/>
        <v>99.878894053528214</v>
      </c>
    </row>
    <row r="88" spans="1:19">
      <c r="E88" s="78" t="s">
        <v>261</v>
      </c>
      <c r="F88" s="79" t="s">
        <v>325</v>
      </c>
      <c r="G88" s="56">
        <v>0</v>
      </c>
      <c r="H88" s="56">
        <v>0</v>
      </c>
      <c r="I88" s="56">
        <v>76880</v>
      </c>
      <c r="J88" s="56">
        <v>76880</v>
      </c>
      <c r="K88" s="56">
        <v>76880</v>
      </c>
      <c r="L88" s="56">
        <v>76879.253100000002</v>
      </c>
      <c r="M88" s="56">
        <f t="shared" si="4"/>
        <v>2.6600000000034925</v>
      </c>
      <c r="N88" s="56">
        <v>76876.593099999998</v>
      </c>
      <c r="O88" s="80">
        <f t="shared" si="2"/>
        <v>99.995568548387098</v>
      </c>
      <c r="P88" s="80">
        <f t="shared" si="3"/>
        <v>99.995568548387098</v>
      </c>
    </row>
    <row r="89" spans="1:19">
      <c r="E89" s="78" t="s">
        <v>326</v>
      </c>
      <c r="F89" s="79" t="s">
        <v>327</v>
      </c>
      <c r="G89" s="56">
        <v>0</v>
      </c>
      <c r="H89" s="56">
        <v>0</v>
      </c>
      <c r="I89" s="56">
        <v>7390136</v>
      </c>
      <c r="J89" s="56">
        <v>7390136</v>
      </c>
      <c r="K89" s="56">
        <v>7390136</v>
      </c>
      <c r="L89" s="56">
        <v>7390133.4064999996</v>
      </c>
      <c r="M89" s="56">
        <f t="shared" si="4"/>
        <v>9037</v>
      </c>
      <c r="N89" s="56">
        <v>7381096.4064999996</v>
      </c>
      <c r="O89" s="80">
        <f t="shared" si="2"/>
        <v>99.877680282203187</v>
      </c>
      <c r="P89" s="80">
        <f t="shared" si="3"/>
        <v>99.877680282203187</v>
      </c>
    </row>
    <row r="90" spans="1:19">
      <c r="D90" s="186" t="s">
        <v>332</v>
      </c>
      <c r="F90" s="79" t="s">
        <v>333</v>
      </c>
      <c r="G90" s="56">
        <v>2953195</v>
      </c>
      <c r="H90" s="56">
        <v>2735257.2</v>
      </c>
      <c r="I90" s="56">
        <v>2732643.7</v>
      </c>
      <c r="J90" s="56">
        <v>2732643.7</v>
      </c>
      <c r="K90" s="56">
        <v>2732643.7</v>
      </c>
      <c r="L90" s="56">
        <v>2731335.4665999999</v>
      </c>
      <c r="M90" s="56">
        <f t="shared" si="4"/>
        <v>759.03109999978915</v>
      </c>
      <c r="N90" s="56">
        <v>2730576.4355000001</v>
      </c>
      <c r="O90" s="80">
        <f t="shared" si="2"/>
        <v>99.924349284906782</v>
      </c>
      <c r="P90" s="80">
        <f t="shared" si="3"/>
        <v>99.924349284906782</v>
      </c>
    </row>
    <row r="91" spans="1:19">
      <c r="E91" s="78" t="s">
        <v>261</v>
      </c>
      <c r="F91" s="79" t="s">
        <v>325</v>
      </c>
      <c r="G91" s="56">
        <v>0</v>
      </c>
      <c r="H91" s="56">
        <v>0</v>
      </c>
      <c r="I91" s="56">
        <v>113712.5</v>
      </c>
      <c r="J91" s="56">
        <v>113712.5</v>
      </c>
      <c r="K91" s="56">
        <v>113712.5</v>
      </c>
      <c r="L91" s="56">
        <v>112917.19899999999</v>
      </c>
      <c r="M91" s="56">
        <f t="shared" si="4"/>
        <v>0</v>
      </c>
      <c r="N91" s="56">
        <v>112917.19899999999</v>
      </c>
      <c r="O91" s="80">
        <f t="shared" si="2"/>
        <v>99.300603715510604</v>
      </c>
      <c r="P91" s="80">
        <f t="shared" si="3"/>
        <v>99.300603715510604</v>
      </c>
    </row>
    <row r="92" spans="1:19">
      <c r="E92" s="78" t="s">
        <v>326</v>
      </c>
      <c r="F92" s="79" t="s">
        <v>327</v>
      </c>
      <c r="G92" s="56">
        <v>0</v>
      </c>
      <c r="H92" s="56">
        <v>0</v>
      </c>
      <c r="I92" s="56">
        <v>2618931.2000000002</v>
      </c>
      <c r="J92" s="56">
        <v>2618931.2000000002</v>
      </c>
      <c r="K92" s="56">
        <v>2618931.2000000002</v>
      </c>
      <c r="L92" s="56">
        <v>2618418.2675999999</v>
      </c>
      <c r="M92" s="56">
        <f t="shared" si="4"/>
        <v>759.03099999995902</v>
      </c>
      <c r="N92" s="56">
        <v>2617659.2365999999</v>
      </c>
      <c r="O92" s="80">
        <f t="shared" si="2"/>
        <v>99.95143196583399</v>
      </c>
      <c r="P92" s="80">
        <f t="shared" si="3"/>
        <v>99.95143196583399</v>
      </c>
    </row>
    <row r="93" spans="1:19">
      <c r="D93" s="186" t="s">
        <v>334</v>
      </c>
      <c r="F93" s="79" t="s">
        <v>270</v>
      </c>
      <c r="G93" s="56">
        <v>2004816</v>
      </c>
      <c r="H93" s="56">
        <v>1786494</v>
      </c>
      <c r="I93" s="56">
        <v>1782980</v>
      </c>
      <c r="J93" s="56">
        <v>1782980</v>
      </c>
      <c r="K93" s="56">
        <v>1782980</v>
      </c>
      <c r="L93" s="56">
        <v>1782958.2346999999</v>
      </c>
      <c r="M93" s="56">
        <f t="shared" si="4"/>
        <v>352.00300000002608</v>
      </c>
      <c r="N93" s="56">
        <v>1782606.2316999999</v>
      </c>
      <c r="O93" s="80">
        <f t="shared" si="2"/>
        <v>99.97903687646523</v>
      </c>
      <c r="P93" s="80">
        <f t="shared" si="3"/>
        <v>99.97903687646523</v>
      </c>
    </row>
    <row r="94" spans="1:19">
      <c r="D94" s="186"/>
      <c r="E94" s="78" t="s">
        <v>261</v>
      </c>
      <c r="F94" s="79" t="s">
        <v>325</v>
      </c>
      <c r="G94" s="56">
        <v>0</v>
      </c>
      <c r="H94" s="56">
        <v>0</v>
      </c>
      <c r="I94" s="56">
        <v>35026</v>
      </c>
      <c r="J94" s="56">
        <v>35026</v>
      </c>
      <c r="K94" s="56">
        <v>35026</v>
      </c>
      <c r="L94" s="56">
        <v>35018.263500000001</v>
      </c>
      <c r="M94" s="56">
        <f t="shared" si="4"/>
        <v>0</v>
      </c>
      <c r="N94" s="56">
        <v>35018.263500000001</v>
      </c>
      <c r="O94" s="80">
        <f t="shared" si="2"/>
        <v>99.977912122423334</v>
      </c>
      <c r="P94" s="80">
        <f t="shared" si="3"/>
        <v>99.977912122423334</v>
      </c>
    </row>
    <row r="95" spans="1:19">
      <c r="E95" s="78" t="s">
        <v>326</v>
      </c>
      <c r="F95" s="79" t="s">
        <v>327</v>
      </c>
      <c r="G95" s="56">
        <v>0</v>
      </c>
      <c r="H95" s="56">
        <v>0</v>
      </c>
      <c r="I95" s="56">
        <v>1747954</v>
      </c>
      <c r="J95" s="56">
        <v>1747954</v>
      </c>
      <c r="K95" s="56">
        <v>1747954</v>
      </c>
      <c r="L95" s="56">
        <v>1747939.9713000001</v>
      </c>
      <c r="M95" s="56">
        <f t="shared" si="4"/>
        <v>352.00300000002608</v>
      </c>
      <c r="N95" s="56">
        <v>1747587.9683000001</v>
      </c>
      <c r="O95" s="80">
        <f t="shared" si="2"/>
        <v>99.979059420327999</v>
      </c>
      <c r="P95" s="80">
        <f t="shared" si="3"/>
        <v>99.979059420327999</v>
      </c>
    </row>
    <row r="96" spans="1:19" ht="31.5">
      <c r="D96" s="186" t="s">
        <v>295</v>
      </c>
      <c r="F96" s="79" t="s">
        <v>335</v>
      </c>
      <c r="G96" s="56">
        <v>0</v>
      </c>
      <c r="H96" s="56">
        <v>0</v>
      </c>
      <c r="I96" s="56">
        <v>29792</v>
      </c>
      <c r="J96" s="56">
        <v>29792</v>
      </c>
      <c r="K96" s="56">
        <v>29792</v>
      </c>
      <c r="L96" s="56">
        <v>29787.408800000001</v>
      </c>
      <c r="M96" s="56">
        <f t="shared" si="4"/>
        <v>2.9999999969732016E-4</v>
      </c>
      <c r="N96" s="56">
        <v>29787.408500000001</v>
      </c>
      <c r="O96" s="80">
        <f t="shared" si="2"/>
        <v>99.984588144468319</v>
      </c>
      <c r="P96" s="80">
        <f t="shared" si="3"/>
        <v>99.984588144468319</v>
      </c>
      <c r="S96" s="56">
        <f>N187+N175</f>
        <v>247585614.4777</v>
      </c>
    </row>
    <row r="97" spans="1:16">
      <c r="E97" s="78" t="s">
        <v>261</v>
      </c>
      <c r="F97" s="79" t="s">
        <v>325</v>
      </c>
      <c r="G97" s="56">
        <v>0</v>
      </c>
      <c r="H97" s="56">
        <v>0</v>
      </c>
      <c r="I97" s="56">
        <v>29792</v>
      </c>
      <c r="J97" s="56">
        <v>29792</v>
      </c>
      <c r="K97" s="56">
        <v>29792</v>
      </c>
      <c r="L97" s="56">
        <v>29787.4087</v>
      </c>
      <c r="M97" s="56">
        <f t="shared" si="4"/>
        <v>1.9999999858555384E-4</v>
      </c>
      <c r="N97" s="56">
        <v>29787.408500000001</v>
      </c>
      <c r="O97" s="80">
        <f t="shared" si="2"/>
        <v>99.984588144468319</v>
      </c>
      <c r="P97" s="80">
        <f t="shared" si="3"/>
        <v>99.984588144468319</v>
      </c>
    </row>
    <row r="98" spans="1:16">
      <c r="D98" s="186" t="s">
        <v>301</v>
      </c>
      <c r="F98" s="79" t="s">
        <v>336</v>
      </c>
      <c r="G98" s="56">
        <v>9415</v>
      </c>
      <c r="H98" s="56">
        <v>8079.4</v>
      </c>
      <c r="I98" s="56">
        <v>8079.4</v>
      </c>
      <c r="J98" s="56">
        <v>8079.4</v>
      </c>
      <c r="K98" s="56">
        <v>8079.4</v>
      </c>
      <c r="L98" s="56">
        <v>7955.1369999999997</v>
      </c>
      <c r="M98" s="56">
        <f t="shared" si="4"/>
        <v>0</v>
      </c>
      <c r="N98" s="56">
        <v>7955.1369999999997</v>
      </c>
      <c r="O98" s="80">
        <f t="shared" si="2"/>
        <v>98.46197737455752</v>
      </c>
      <c r="P98" s="80">
        <f t="shared" si="3"/>
        <v>98.46197737455752</v>
      </c>
    </row>
    <row r="99" spans="1:16" ht="22.5">
      <c r="A99" s="76"/>
      <c r="B99" s="76"/>
      <c r="C99" s="76" t="s">
        <v>328</v>
      </c>
      <c r="D99" s="76"/>
      <c r="E99" s="76"/>
      <c r="F99" s="87" t="s">
        <v>329</v>
      </c>
      <c r="G99" s="55">
        <v>2182021</v>
      </c>
      <c r="H99" s="55">
        <v>2473330.7999999998</v>
      </c>
      <c r="I99" s="55">
        <v>2476262.7999999998</v>
      </c>
      <c r="J99" s="55">
        <v>2476262.7999999998</v>
      </c>
      <c r="K99" s="55">
        <v>2476262.7999999998</v>
      </c>
      <c r="L99" s="55">
        <v>2476244.6542000002</v>
      </c>
      <c r="M99" s="55">
        <f t="shared" si="4"/>
        <v>0</v>
      </c>
      <c r="N99" s="55">
        <v>2476244.6542000002</v>
      </c>
      <c r="O99" s="77">
        <f t="shared" si="2"/>
        <v>99.999267210249272</v>
      </c>
      <c r="P99" s="77">
        <f t="shared" si="3"/>
        <v>99.999267210249272</v>
      </c>
    </row>
    <row r="100" spans="1:16" ht="21">
      <c r="D100" s="186" t="s">
        <v>318</v>
      </c>
      <c r="F100" s="79" t="s">
        <v>331</v>
      </c>
      <c r="G100" s="56">
        <v>1235844</v>
      </c>
      <c r="H100" s="56">
        <v>1603629.1</v>
      </c>
      <c r="I100" s="56">
        <v>1603629.1</v>
      </c>
      <c r="J100" s="56">
        <v>1603629.1</v>
      </c>
      <c r="K100" s="56">
        <v>1603629.1</v>
      </c>
      <c r="L100" s="56">
        <v>1603628.9016</v>
      </c>
      <c r="M100" s="56">
        <f t="shared" si="4"/>
        <v>0</v>
      </c>
      <c r="N100" s="56">
        <v>1603628.9016</v>
      </c>
      <c r="O100" s="80">
        <f t="shared" si="2"/>
        <v>99.999987628061874</v>
      </c>
      <c r="P100" s="80">
        <f t="shared" si="3"/>
        <v>99.999987628061874</v>
      </c>
    </row>
    <row r="101" spans="1:16">
      <c r="E101" s="78" t="s">
        <v>261</v>
      </c>
      <c r="F101" s="79" t="s">
        <v>325</v>
      </c>
      <c r="G101" s="56">
        <v>0</v>
      </c>
      <c r="H101" s="56">
        <v>0</v>
      </c>
      <c r="I101" s="56">
        <v>8468</v>
      </c>
      <c r="J101" s="56">
        <v>8468</v>
      </c>
      <c r="K101" s="56">
        <v>8468</v>
      </c>
      <c r="L101" s="56">
        <v>8468</v>
      </c>
      <c r="M101" s="56">
        <f t="shared" si="4"/>
        <v>0</v>
      </c>
      <c r="N101" s="56">
        <v>8468</v>
      </c>
      <c r="O101" s="80">
        <f t="shared" si="2"/>
        <v>100</v>
      </c>
      <c r="P101" s="80">
        <f t="shared" si="3"/>
        <v>100</v>
      </c>
    </row>
    <row r="102" spans="1:16">
      <c r="E102" s="78" t="s">
        <v>326</v>
      </c>
      <c r="F102" s="79" t="s">
        <v>327</v>
      </c>
      <c r="G102" s="56">
        <v>0</v>
      </c>
      <c r="H102" s="56">
        <v>0</v>
      </c>
      <c r="I102" s="56">
        <v>1595161.1</v>
      </c>
      <c r="J102" s="56">
        <v>1595161.1</v>
      </c>
      <c r="K102" s="56">
        <v>1595161.1</v>
      </c>
      <c r="L102" s="56">
        <v>1595160.9015800001</v>
      </c>
      <c r="M102" s="56">
        <f t="shared" si="4"/>
        <v>0</v>
      </c>
      <c r="N102" s="56">
        <v>1595160.9015800001</v>
      </c>
      <c r="O102" s="80">
        <f t="shared" si="2"/>
        <v>99.999987561130979</v>
      </c>
      <c r="P102" s="80">
        <f t="shared" si="3"/>
        <v>99.999987561130979</v>
      </c>
    </row>
    <row r="103" spans="1:16">
      <c r="D103" s="186" t="s">
        <v>332</v>
      </c>
      <c r="F103" s="79" t="s">
        <v>333</v>
      </c>
      <c r="G103" s="56">
        <v>578401</v>
      </c>
      <c r="H103" s="56">
        <v>502137.59999999998</v>
      </c>
      <c r="I103" s="56">
        <v>502137.59999999998</v>
      </c>
      <c r="J103" s="56">
        <v>502137.59999999998</v>
      </c>
      <c r="K103" s="56">
        <v>502137.59999999998</v>
      </c>
      <c r="L103" s="56">
        <v>502133.935</v>
      </c>
      <c r="M103" s="56">
        <f t="shared" si="4"/>
        <v>0</v>
      </c>
      <c r="N103" s="56">
        <v>502133.935</v>
      </c>
      <c r="O103" s="80">
        <f t="shared" si="2"/>
        <v>99.99927012038134</v>
      </c>
      <c r="P103" s="80">
        <f t="shared" si="3"/>
        <v>99.99927012038134</v>
      </c>
    </row>
    <row r="104" spans="1:16">
      <c r="E104" s="78" t="s">
        <v>261</v>
      </c>
      <c r="F104" s="79" t="s">
        <v>325</v>
      </c>
      <c r="G104" s="56">
        <v>0</v>
      </c>
      <c r="H104" s="56">
        <v>0</v>
      </c>
      <c r="I104" s="56">
        <v>21720</v>
      </c>
      <c r="J104" s="56">
        <v>21720</v>
      </c>
      <c r="K104" s="56">
        <v>21720</v>
      </c>
      <c r="L104" s="56">
        <v>21720</v>
      </c>
      <c r="M104" s="56">
        <f t="shared" si="4"/>
        <v>0</v>
      </c>
      <c r="N104" s="56">
        <v>21720</v>
      </c>
      <c r="O104" s="80">
        <f t="shared" si="2"/>
        <v>100</v>
      </c>
      <c r="P104" s="80">
        <f t="shared" si="3"/>
        <v>100</v>
      </c>
    </row>
    <row r="105" spans="1:16">
      <c r="E105" s="78" t="s">
        <v>326</v>
      </c>
      <c r="F105" s="79" t="s">
        <v>327</v>
      </c>
      <c r="G105" s="56">
        <v>0</v>
      </c>
      <c r="H105" s="56">
        <v>0</v>
      </c>
      <c r="I105" s="56">
        <v>480417.6</v>
      </c>
      <c r="J105" s="56">
        <v>480417.6</v>
      </c>
      <c r="K105" s="56">
        <v>480417.6</v>
      </c>
      <c r="L105" s="56">
        <v>480413.9351</v>
      </c>
      <c r="M105" s="56">
        <f t="shared" si="4"/>
        <v>0</v>
      </c>
      <c r="N105" s="56">
        <v>480413.9351</v>
      </c>
      <c r="O105" s="80">
        <f t="shared" si="2"/>
        <v>99.999237142852394</v>
      </c>
      <c r="P105" s="80">
        <f t="shared" si="3"/>
        <v>99.999237142852394</v>
      </c>
    </row>
    <row r="106" spans="1:16">
      <c r="D106" s="186" t="s">
        <v>334</v>
      </c>
      <c r="F106" s="79" t="s">
        <v>270</v>
      </c>
      <c r="G106" s="56">
        <v>365430</v>
      </c>
      <c r="H106" s="56">
        <v>365269.1</v>
      </c>
      <c r="I106" s="56">
        <v>365269.1</v>
      </c>
      <c r="J106" s="56">
        <v>365269.1</v>
      </c>
      <c r="K106" s="56">
        <v>365269.1</v>
      </c>
      <c r="L106" s="56">
        <v>365269</v>
      </c>
      <c r="M106" s="56">
        <f t="shared" si="4"/>
        <v>0</v>
      </c>
      <c r="N106" s="56">
        <v>365269</v>
      </c>
      <c r="O106" s="80">
        <f t="shared" si="2"/>
        <v>99.999972622923764</v>
      </c>
      <c r="P106" s="80">
        <f t="shared" si="3"/>
        <v>99.999972622923764</v>
      </c>
    </row>
    <row r="107" spans="1:16">
      <c r="E107" s="78" t="s">
        <v>261</v>
      </c>
      <c r="F107" s="79" t="s">
        <v>325</v>
      </c>
      <c r="G107" s="56">
        <v>0</v>
      </c>
      <c r="H107" s="56">
        <v>0</v>
      </c>
      <c r="I107" s="56">
        <v>2543</v>
      </c>
      <c r="J107" s="56">
        <v>2543</v>
      </c>
      <c r="K107" s="56">
        <v>2543</v>
      </c>
      <c r="L107" s="56">
        <v>2543</v>
      </c>
      <c r="M107" s="56">
        <f t="shared" si="4"/>
        <v>0</v>
      </c>
      <c r="N107" s="56">
        <v>2543</v>
      </c>
      <c r="O107" s="80">
        <f t="shared" si="2"/>
        <v>100</v>
      </c>
      <c r="P107" s="80">
        <f t="shared" si="3"/>
        <v>100</v>
      </c>
    </row>
    <row r="108" spans="1:16">
      <c r="E108" s="78" t="s">
        <v>326</v>
      </c>
      <c r="F108" s="79" t="s">
        <v>327</v>
      </c>
      <c r="G108" s="56">
        <v>0</v>
      </c>
      <c r="H108" s="56">
        <v>0</v>
      </c>
      <c r="I108" s="56">
        <v>362726.1</v>
      </c>
      <c r="J108" s="56">
        <v>362726.1</v>
      </c>
      <c r="K108" s="56">
        <v>362726.1</v>
      </c>
      <c r="L108" s="56">
        <v>362726</v>
      </c>
      <c r="M108" s="56">
        <f t="shared" si="4"/>
        <v>0</v>
      </c>
      <c r="N108" s="56">
        <v>362726</v>
      </c>
      <c r="O108" s="80">
        <f t="shared" si="2"/>
        <v>99.999972430988578</v>
      </c>
      <c r="P108" s="80">
        <f t="shared" si="3"/>
        <v>99.999972430988578</v>
      </c>
    </row>
    <row r="109" spans="1:16" ht="31.5">
      <c r="D109" s="186" t="s">
        <v>295</v>
      </c>
      <c r="F109" s="79" t="s">
        <v>335</v>
      </c>
      <c r="G109" s="56">
        <v>0</v>
      </c>
      <c r="H109" s="56">
        <v>0</v>
      </c>
      <c r="I109" s="56">
        <v>2932</v>
      </c>
      <c r="J109" s="56">
        <v>2932</v>
      </c>
      <c r="K109" s="56">
        <v>2932</v>
      </c>
      <c r="L109" s="56">
        <v>2930.4956000000002</v>
      </c>
      <c r="M109" s="56">
        <f t="shared" si="4"/>
        <v>0</v>
      </c>
      <c r="N109" s="56">
        <v>2930.4956000000002</v>
      </c>
      <c r="O109" s="80">
        <f t="shared" si="2"/>
        <v>99.948690313778997</v>
      </c>
      <c r="P109" s="80">
        <f t="shared" si="3"/>
        <v>99.948690313778997</v>
      </c>
    </row>
    <row r="110" spans="1:16">
      <c r="E110" s="78" t="s">
        <v>261</v>
      </c>
      <c r="F110" s="79" t="s">
        <v>325</v>
      </c>
      <c r="G110" s="56">
        <v>0</v>
      </c>
      <c r="H110" s="56">
        <v>0</v>
      </c>
      <c r="I110" s="56">
        <v>2932</v>
      </c>
      <c r="J110" s="56">
        <v>2932</v>
      </c>
      <c r="K110" s="56">
        <v>2932</v>
      </c>
      <c r="L110" s="56">
        <v>2930.4956000000002</v>
      </c>
      <c r="M110" s="56">
        <f t="shared" si="4"/>
        <v>0</v>
      </c>
      <c r="N110" s="56">
        <v>2930.4956000000002</v>
      </c>
      <c r="O110" s="80">
        <f t="shared" si="2"/>
        <v>99.948690313778997</v>
      </c>
      <c r="P110" s="80">
        <f t="shared" si="3"/>
        <v>99.948690313778997</v>
      </c>
    </row>
    <row r="111" spans="1:16">
      <c r="D111" s="186" t="s">
        <v>301</v>
      </c>
      <c r="F111" s="79" t="s">
        <v>336</v>
      </c>
      <c r="G111" s="56">
        <v>2346</v>
      </c>
      <c r="H111" s="56">
        <v>2295</v>
      </c>
      <c r="I111" s="56">
        <v>2295</v>
      </c>
      <c r="J111" s="56">
        <v>2295</v>
      </c>
      <c r="K111" s="56">
        <v>2295</v>
      </c>
      <c r="L111" s="56">
        <v>2282.3220000000001</v>
      </c>
      <c r="M111" s="56">
        <f t="shared" si="4"/>
        <v>0</v>
      </c>
      <c r="N111" s="56">
        <v>2282.3220000000001</v>
      </c>
      <c r="O111" s="80">
        <f t="shared" si="2"/>
        <v>99.447581699346415</v>
      </c>
      <c r="P111" s="80">
        <f t="shared" si="3"/>
        <v>99.447581699346415</v>
      </c>
    </row>
    <row r="112" spans="1:16">
      <c r="A112" s="76"/>
      <c r="B112" s="76"/>
      <c r="C112" s="76" t="s">
        <v>282</v>
      </c>
      <c r="D112" s="76"/>
      <c r="E112" s="76"/>
      <c r="F112" s="88" t="s">
        <v>3</v>
      </c>
      <c r="G112" s="55">
        <v>9660422</v>
      </c>
      <c r="H112" s="55">
        <v>9484273</v>
      </c>
      <c r="I112" s="55">
        <v>9484273</v>
      </c>
      <c r="J112" s="55">
        <v>9484273</v>
      </c>
      <c r="K112" s="55">
        <v>9484273</v>
      </c>
      <c r="L112" s="55">
        <v>9484273</v>
      </c>
      <c r="M112" s="55">
        <f t="shared" si="4"/>
        <v>40.137299999594688</v>
      </c>
      <c r="N112" s="55">
        <v>9484232.8627000004</v>
      </c>
      <c r="O112" s="77">
        <f t="shared" si="2"/>
        <v>99.999576801511296</v>
      </c>
      <c r="P112" s="77">
        <f t="shared" si="3"/>
        <v>99.999576801511296</v>
      </c>
    </row>
    <row r="113" spans="1:16">
      <c r="D113" s="186" t="s">
        <v>283</v>
      </c>
      <c r="F113" s="79" t="s">
        <v>284</v>
      </c>
      <c r="G113" s="56">
        <v>206461</v>
      </c>
      <c r="H113" s="56">
        <v>196114</v>
      </c>
      <c r="I113" s="56">
        <v>196114</v>
      </c>
      <c r="J113" s="56">
        <v>196114</v>
      </c>
      <c r="K113" s="56">
        <v>196114</v>
      </c>
      <c r="L113" s="56">
        <v>196114</v>
      </c>
      <c r="M113" s="56">
        <f t="shared" si="4"/>
        <v>0</v>
      </c>
      <c r="N113" s="56">
        <v>196114</v>
      </c>
      <c r="O113" s="80">
        <f t="shared" si="2"/>
        <v>100</v>
      </c>
      <c r="P113" s="80">
        <f t="shared" si="3"/>
        <v>100</v>
      </c>
    </row>
    <row r="114" spans="1:16">
      <c r="D114" s="186" t="s">
        <v>285</v>
      </c>
      <c r="F114" s="79" t="s">
        <v>286</v>
      </c>
      <c r="G114" s="56">
        <v>9453961</v>
      </c>
      <c r="H114" s="56">
        <v>9288159</v>
      </c>
      <c r="I114" s="56">
        <v>9288159</v>
      </c>
      <c r="J114" s="56">
        <v>9288159</v>
      </c>
      <c r="K114" s="56">
        <v>9288159</v>
      </c>
      <c r="L114" s="56">
        <v>9288159</v>
      </c>
      <c r="M114" s="56">
        <f t="shared" si="4"/>
        <v>40.137299999594688</v>
      </c>
      <c r="N114" s="56">
        <v>9288118.8627000004</v>
      </c>
      <c r="O114" s="80">
        <f t="shared" si="2"/>
        <v>99.999567865924774</v>
      </c>
      <c r="P114" s="80">
        <f t="shared" si="3"/>
        <v>99.999567865924774</v>
      </c>
    </row>
    <row r="115" spans="1:16">
      <c r="A115" s="74"/>
      <c r="B115" s="74" t="s">
        <v>337</v>
      </c>
      <c r="C115" s="74"/>
      <c r="D115" s="74"/>
      <c r="E115" s="74"/>
      <c r="F115" s="52" t="s">
        <v>338</v>
      </c>
      <c r="G115" s="53">
        <v>157094236</v>
      </c>
      <c r="H115" s="53">
        <v>163957348.40000001</v>
      </c>
      <c r="I115" s="53">
        <v>163332237.40000001</v>
      </c>
      <c r="J115" s="53">
        <v>163332237.40000001</v>
      </c>
      <c r="K115" s="53">
        <v>163332237.40000001</v>
      </c>
      <c r="L115" s="53">
        <v>163205221.62290001</v>
      </c>
      <c r="M115" s="53">
        <f t="shared" si="4"/>
        <v>40824.327100008726</v>
      </c>
      <c r="N115" s="53">
        <v>163164397.2958</v>
      </c>
      <c r="O115" s="75">
        <f t="shared" ref="O115:O178" si="5">IF(J115=0,0,N115/J115*100)</f>
        <v>99.897240063032399</v>
      </c>
      <c r="P115" s="75">
        <f t="shared" ref="P115:P178" si="6">IF(I115=0,0,N115/I115*100)</f>
        <v>99.897240063032399</v>
      </c>
    </row>
    <row r="116" spans="1:16">
      <c r="A116" s="76"/>
      <c r="B116" s="76"/>
      <c r="C116" s="76" t="s">
        <v>322</v>
      </c>
      <c r="D116" s="76"/>
      <c r="E116" s="76"/>
      <c r="F116" s="103" t="s">
        <v>323</v>
      </c>
      <c r="G116" s="55">
        <v>127958702</v>
      </c>
      <c r="H116" s="55">
        <v>134909860.09999999</v>
      </c>
      <c r="I116" s="55">
        <v>134284749.09999999</v>
      </c>
      <c r="J116" s="55">
        <v>134284749.09999999</v>
      </c>
      <c r="K116" s="55">
        <v>134284749.09999999</v>
      </c>
      <c r="L116" s="55">
        <v>134194322.228</v>
      </c>
      <c r="M116" s="55">
        <f t="shared" si="4"/>
        <v>40824.327099993825</v>
      </c>
      <c r="N116" s="55">
        <v>134153497.90090001</v>
      </c>
      <c r="O116" s="77">
        <f t="shared" si="5"/>
        <v>99.902259042832739</v>
      </c>
      <c r="P116" s="77">
        <f t="shared" si="6"/>
        <v>99.902259042832739</v>
      </c>
    </row>
    <row r="117" spans="1:16" ht="31.5">
      <c r="D117" s="186" t="s">
        <v>253</v>
      </c>
      <c r="F117" s="79" t="s">
        <v>339</v>
      </c>
      <c r="G117" s="56">
        <v>65026368</v>
      </c>
      <c r="H117" s="56">
        <v>62674299.899999999</v>
      </c>
      <c r="I117" s="56">
        <v>62616478.899999999</v>
      </c>
      <c r="J117" s="56">
        <v>62616478.899999999</v>
      </c>
      <c r="K117" s="56">
        <v>62616478.899999999</v>
      </c>
      <c r="L117" s="56">
        <v>62604521.272399999</v>
      </c>
      <c r="M117" s="56">
        <f t="shared" si="4"/>
        <v>23824.324799999595</v>
      </c>
      <c r="N117" s="56">
        <v>62580696.9476</v>
      </c>
      <c r="O117" s="80">
        <f t="shared" si="5"/>
        <v>99.942855374450005</v>
      </c>
      <c r="P117" s="80">
        <f t="shared" si="6"/>
        <v>99.942855374450005</v>
      </c>
    </row>
    <row r="118" spans="1:16">
      <c r="E118" s="78" t="s">
        <v>261</v>
      </c>
      <c r="F118" s="79" t="s">
        <v>325</v>
      </c>
      <c r="G118" s="56">
        <v>0</v>
      </c>
      <c r="H118" s="56">
        <v>0</v>
      </c>
      <c r="I118" s="56">
        <v>2733722.1</v>
      </c>
      <c r="J118" s="56">
        <v>2733722.1</v>
      </c>
      <c r="K118" s="56">
        <v>2733722.1</v>
      </c>
      <c r="L118" s="56">
        <v>2731549.1982999998</v>
      </c>
      <c r="M118" s="56">
        <f t="shared" si="4"/>
        <v>6856.8802999998443</v>
      </c>
      <c r="N118" s="56">
        <v>2724692.318</v>
      </c>
      <c r="O118" s="80">
        <f t="shared" si="5"/>
        <v>99.669689102634095</v>
      </c>
      <c r="P118" s="80">
        <f t="shared" si="6"/>
        <v>99.669689102634095</v>
      </c>
    </row>
    <row r="119" spans="1:16">
      <c r="E119" s="78" t="s">
        <v>326</v>
      </c>
      <c r="F119" s="79" t="s">
        <v>327</v>
      </c>
      <c r="G119" s="56">
        <v>0</v>
      </c>
      <c r="H119" s="56">
        <v>0</v>
      </c>
      <c r="I119" s="56">
        <v>59882756.799999997</v>
      </c>
      <c r="J119" s="56">
        <v>59882756.799999997</v>
      </c>
      <c r="K119" s="56">
        <v>59882756.799999997</v>
      </c>
      <c r="L119" s="56">
        <v>59872972.074100003</v>
      </c>
      <c r="M119" s="56">
        <f t="shared" si="4"/>
        <v>16967.444600000978</v>
      </c>
      <c r="N119" s="56">
        <v>59856004.629500002</v>
      </c>
      <c r="O119" s="80">
        <f t="shared" si="5"/>
        <v>99.955325753306013</v>
      </c>
      <c r="P119" s="80">
        <f t="shared" si="6"/>
        <v>99.955325753306013</v>
      </c>
    </row>
    <row r="120" spans="1:16">
      <c r="D120" s="186" t="s">
        <v>249</v>
      </c>
      <c r="F120" s="79" t="s">
        <v>340</v>
      </c>
      <c r="G120" s="56">
        <v>3332822</v>
      </c>
      <c r="H120" s="56">
        <v>3714157</v>
      </c>
      <c r="I120" s="56">
        <v>3775632</v>
      </c>
      <c r="J120" s="56">
        <v>3775632</v>
      </c>
      <c r="K120" s="56">
        <v>3775632</v>
      </c>
      <c r="L120" s="56">
        <v>3771791.1622000001</v>
      </c>
      <c r="M120" s="56">
        <f t="shared" si="4"/>
        <v>0</v>
      </c>
      <c r="N120" s="56">
        <v>3771791.1622000001</v>
      </c>
      <c r="O120" s="80">
        <f t="shared" si="5"/>
        <v>99.898272983172092</v>
      </c>
      <c r="P120" s="80">
        <f t="shared" si="6"/>
        <v>99.898272983172092</v>
      </c>
    </row>
    <row r="121" spans="1:16">
      <c r="E121" s="78" t="s">
        <v>261</v>
      </c>
      <c r="F121" s="79" t="s">
        <v>325</v>
      </c>
      <c r="G121" s="56">
        <v>0</v>
      </c>
      <c r="H121" s="56">
        <v>0</v>
      </c>
      <c r="I121" s="56">
        <v>3775632</v>
      </c>
      <c r="J121" s="56">
        <v>3775632</v>
      </c>
      <c r="K121" s="56">
        <v>3775632</v>
      </c>
      <c r="L121" s="56">
        <v>3771791.1622000001</v>
      </c>
      <c r="M121" s="56">
        <f t="shared" si="4"/>
        <v>0</v>
      </c>
      <c r="N121" s="56">
        <v>3771791.1622000001</v>
      </c>
      <c r="O121" s="80">
        <f t="shared" si="5"/>
        <v>99.898272983172092</v>
      </c>
      <c r="P121" s="80">
        <f t="shared" si="6"/>
        <v>99.898272983172092</v>
      </c>
    </row>
    <row r="122" spans="1:16">
      <c r="D122" s="186" t="s">
        <v>303</v>
      </c>
      <c r="F122" s="79" t="s">
        <v>341</v>
      </c>
      <c r="G122" s="56">
        <v>6276795</v>
      </c>
      <c r="H122" s="56">
        <v>6938637.7000000002</v>
      </c>
      <c r="I122" s="56">
        <v>7076638.7000000002</v>
      </c>
      <c r="J122" s="56">
        <v>7076638.7000000002</v>
      </c>
      <c r="K122" s="56">
        <v>7076638.7000000002</v>
      </c>
      <c r="L122" s="56">
        <v>7075916.5159</v>
      </c>
      <c r="M122" s="56">
        <f t="shared" si="4"/>
        <v>17000.000900000334</v>
      </c>
      <c r="N122" s="56">
        <v>7058916.5149999997</v>
      </c>
      <c r="O122" s="80">
        <f t="shared" si="5"/>
        <v>99.749567757359145</v>
      </c>
      <c r="P122" s="80">
        <f t="shared" si="6"/>
        <v>99.749567757359145</v>
      </c>
    </row>
    <row r="123" spans="1:16">
      <c r="E123" s="78" t="s">
        <v>261</v>
      </c>
      <c r="F123" s="79" t="s">
        <v>325</v>
      </c>
      <c r="G123" s="56">
        <v>0</v>
      </c>
      <c r="H123" s="56">
        <v>0</v>
      </c>
      <c r="I123" s="56">
        <v>5744956</v>
      </c>
      <c r="J123" s="56">
        <v>5744956</v>
      </c>
      <c r="K123" s="56">
        <v>5744956</v>
      </c>
      <c r="L123" s="56">
        <v>5744238.1254000003</v>
      </c>
      <c r="M123" s="56">
        <f t="shared" si="4"/>
        <v>9.0000033378601074E-4</v>
      </c>
      <c r="N123" s="56">
        <v>5744238.1244999999</v>
      </c>
      <c r="O123" s="80">
        <f t="shared" si="5"/>
        <v>99.987504247203987</v>
      </c>
      <c r="P123" s="80">
        <f t="shared" si="6"/>
        <v>99.987504247203987</v>
      </c>
    </row>
    <row r="124" spans="1:16">
      <c r="E124" s="78" t="s">
        <v>326</v>
      </c>
      <c r="F124" s="79" t="s">
        <v>327</v>
      </c>
      <c r="G124" s="56">
        <v>0</v>
      </c>
      <c r="H124" s="56">
        <v>0</v>
      </c>
      <c r="I124" s="56">
        <v>1331682.7</v>
      </c>
      <c r="J124" s="56">
        <v>1331682.7</v>
      </c>
      <c r="K124" s="56">
        <v>1331682.7</v>
      </c>
      <c r="L124" s="56">
        <v>1331678.3905</v>
      </c>
      <c r="M124" s="56">
        <f t="shared" si="4"/>
        <v>17000</v>
      </c>
      <c r="N124" s="56">
        <v>1314678.3905</v>
      </c>
      <c r="O124" s="80">
        <f t="shared" si="5"/>
        <v>98.723096012285822</v>
      </c>
      <c r="P124" s="80">
        <f t="shared" si="6"/>
        <v>98.723096012285822</v>
      </c>
    </row>
    <row r="125" spans="1:16">
      <c r="D125" s="186" t="s">
        <v>307</v>
      </c>
      <c r="F125" s="79" t="s">
        <v>342</v>
      </c>
      <c r="G125" s="56">
        <v>2787880</v>
      </c>
      <c r="H125" s="56">
        <v>2798224</v>
      </c>
      <c r="I125" s="56">
        <v>2632470</v>
      </c>
      <c r="J125" s="56">
        <v>2632470</v>
      </c>
      <c r="K125" s="56">
        <v>2632470</v>
      </c>
      <c r="L125" s="56">
        <v>2628560.0863000001</v>
      </c>
      <c r="M125" s="56">
        <f t="shared" si="4"/>
        <v>0</v>
      </c>
      <c r="N125" s="56">
        <v>2628560.0863000001</v>
      </c>
      <c r="O125" s="80">
        <f t="shared" si="5"/>
        <v>99.851473570449045</v>
      </c>
      <c r="P125" s="80">
        <f t="shared" si="6"/>
        <v>99.851473570449045</v>
      </c>
    </row>
    <row r="126" spans="1:16">
      <c r="E126" s="78" t="s">
        <v>261</v>
      </c>
      <c r="F126" s="79" t="s">
        <v>325</v>
      </c>
      <c r="G126" s="56">
        <v>0</v>
      </c>
      <c r="H126" s="56">
        <v>0</v>
      </c>
      <c r="I126" s="56">
        <v>2616573</v>
      </c>
      <c r="J126" s="56">
        <v>2616573</v>
      </c>
      <c r="K126" s="56">
        <v>2616573</v>
      </c>
      <c r="L126" s="56">
        <v>2612663.0863000001</v>
      </c>
      <c r="M126" s="56">
        <f t="shared" si="4"/>
        <v>0</v>
      </c>
      <c r="N126" s="56">
        <v>2612663.0863000001</v>
      </c>
      <c r="O126" s="80">
        <f t="shared" si="5"/>
        <v>99.850571197516757</v>
      </c>
      <c r="P126" s="80">
        <f t="shared" si="6"/>
        <v>99.850571197516757</v>
      </c>
    </row>
    <row r="127" spans="1:16">
      <c r="E127" s="78" t="s">
        <v>326</v>
      </c>
      <c r="F127" s="79" t="s">
        <v>327</v>
      </c>
      <c r="G127" s="56">
        <v>0</v>
      </c>
      <c r="H127" s="56">
        <v>0</v>
      </c>
      <c r="I127" s="56">
        <v>15897</v>
      </c>
      <c r="J127" s="56">
        <v>15897</v>
      </c>
      <c r="K127" s="56">
        <v>15897</v>
      </c>
      <c r="L127" s="56">
        <v>15897</v>
      </c>
      <c r="M127" s="56">
        <f t="shared" si="4"/>
        <v>0</v>
      </c>
      <c r="N127" s="56">
        <v>15897</v>
      </c>
      <c r="O127" s="80">
        <f t="shared" si="5"/>
        <v>100</v>
      </c>
      <c r="P127" s="80">
        <f t="shared" si="6"/>
        <v>100</v>
      </c>
    </row>
    <row r="128" spans="1:16" ht="31.5">
      <c r="D128" s="186" t="s">
        <v>309</v>
      </c>
      <c r="F128" s="79" t="s">
        <v>343</v>
      </c>
      <c r="G128" s="56">
        <v>5587998</v>
      </c>
      <c r="H128" s="56">
        <v>7270344.7000000002</v>
      </c>
      <c r="I128" s="56">
        <v>7085475.7000000002</v>
      </c>
      <c r="J128" s="56">
        <v>7085475.7000000002</v>
      </c>
      <c r="K128" s="56">
        <v>7085475.7000000002</v>
      </c>
      <c r="L128" s="56">
        <v>7051099.2566</v>
      </c>
      <c r="M128" s="56">
        <f t="shared" si="4"/>
        <v>0</v>
      </c>
      <c r="N128" s="56">
        <v>7051099.2566</v>
      </c>
      <c r="O128" s="80">
        <f t="shared" si="5"/>
        <v>99.514832244784913</v>
      </c>
      <c r="P128" s="80">
        <f t="shared" si="6"/>
        <v>99.514832244784913</v>
      </c>
    </row>
    <row r="129" spans="1:16">
      <c r="E129" s="78" t="s">
        <v>261</v>
      </c>
      <c r="F129" s="79" t="s">
        <v>325</v>
      </c>
      <c r="G129" s="56">
        <v>0</v>
      </c>
      <c r="H129" s="56">
        <v>0</v>
      </c>
      <c r="I129" s="56">
        <v>6057432</v>
      </c>
      <c r="J129" s="56">
        <v>6057432</v>
      </c>
      <c r="K129" s="56">
        <v>6057432</v>
      </c>
      <c r="L129" s="56">
        <v>6023066.7293999996</v>
      </c>
      <c r="M129" s="56">
        <f t="shared" si="4"/>
        <v>0</v>
      </c>
      <c r="N129" s="56">
        <v>6023066.7293999996</v>
      </c>
      <c r="O129" s="80">
        <f t="shared" si="5"/>
        <v>99.43267591613079</v>
      </c>
      <c r="P129" s="80">
        <f t="shared" si="6"/>
        <v>99.43267591613079</v>
      </c>
    </row>
    <row r="130" spans="1:16">
      <c r="E130" s="78" t="s">
        <v>326</v>
      </c>
      <c r="F130" s="79" t="s">
        <v>327</v>
      </c>
      <c r="G130" s="56">
        <v>0</v>
      </c>
      <c r="H130" s="56">
        <v>0</v>
      </c>
      <c r="I130" s="56">
        <v>1028043.7</v>
      </c>
      <c r="J130" s="56">
        <v>1028043.7</v>
      </c>
      <c r="K130" s="56">
        <v>1028043.7</v>
      </c>
      <c r="L130" s="56">
        <v>1028032.5272</v>
      </c>
      <c r="M130" s="56">
        <f t="shared" si="4"/>
        <v>0</v>
      </c>
      <c r="N130" s="56">
        <v>1028032.5272</v>
      </c>
      <c r="O130" s="80">
        <f t="shared" si="5"/>
        <v>99.998913197950628</v>
      </c>
      <c r="P130" s="80">
        <f t="shared" si="6"/>
        <v>99.998913197950628</v>
      </c>
    </row>
    <row r="131" spans="1:16">
      <c r="D131" s="186" t="s">
        <v>344</v>
      </c>
      <c r="F131" s="79" t="s">
        <v>345</v>
      </c>
      <c r="G131" s="56">
        <v>6308509</v>
      </c>
      <c r="H131" s="56">
        <v>7245512</v>
      </c>
      <c r="I131" s="56">
        <v>7426621</v>
      </c>
      <c r="J131" s="56">
        <v>7426621</v>
      </c>
      <c r="K131" s="56">
        <v>7426621</v>
      </c>
      <c r="L131" s="56">
        <v>7422825.4409999996</v>
      </c>
      <c r="M131" s="56">
        <f t="shared" si="4"/>
        <v>0</v>
      </c>
      <c r="N131" s="56">
        <v>7422825.4409999996</v>
      </c>
      <c r="O131" s="80">
        <f t="shared" si="5"/>
        <v>99.94889251787589</v>
      </c>
      <c r="P131" s="80">
        <f t="shared" si="6"/>
        <v>99.94889251787589</v>
      </c>
    </row>
    <row r="132" spans="1:16">
      <c r="E132" s="78" t="s">
        <v>261</v>
      </c>
      <c r="F132" s="79" t="s">
        <v>325</v>
      </c>
      <c r="G132" s="56">
        <v>0</v>
      </c>
      <c r="H132" s="56">
        <v>0</v>
      </c>
      <c r="I132" s="56">
        <v>7394351</v>
      </c>
      <c r="J132" s="56">
        <v>7394351</v>
      </c>
      <c r="K132" s="56">
        <v>7394351</v>
      </c>
      <c r="L132" s="56">
        <v>7390555.4409999996</v>
      </c>
      <c r="M132" s="56">
        <f t="shared" si="4"/>
        <v>0</v>
      </c>
      <c r="N132" s="56">
        <v>7390555.4409999996</v>
      </c>
      <c r="O132" s="80">
        <f t="shared" si="5"/>
        <v>99.948669477551164</v>
      </c>
      <c r="P132" s="80">
        <f t="shared" si="6"/>
        <v>99.948669477551164</v>
      </c>
    </row>
    <row r="133" spans="1:16">
      <c r="E133" s="78" t="s">
        <v>326</v>
      </c>
      <c r="F133" s="79" t="s">
        <v>327</v>
      </c>
      <c r="G133" s="56">
        <v>0</v>
      </c>
      <c r="H133" s="56">
        <v>0</v>
      </c>
      <c r="I133" s="56">
        <v>32270</v>
      </c>
      <c r="J133" s="56">
        <v>32270</v>
      </c>
      <c r="K133" s="56">
        <v>32270</v>
      </c>
      <c r="L133" s="56">
        <v>32270</v>
      </c>
      <c r="M133" s="56">
        <f t="shared" si="4"/>
        <v>0</v>
      </c>
      <c r="N133" s="56">
        <v>32270</v>
      </c>
      <c r="O133" s="80">
        <f t="shared" si="5"/>
        <v>100</v>
      </c>
      <c r="P133" s="80">
        <f t="shared" si="6"/>
        <v>100</v>
      </c>
    </row>
    <row r="134" spans="1:16" ht="21">
      <c r="D134" s="186" t="s">
        <v>346</v>
      </c>
      <c r="F134" s="79" t="s">
        <v>347</v>
      </c>
      <c r="G134" s="56">
        <v>14204658</v>
      </c>
      <c r="H134" s="56">
        <v>16923596.600000001</v>
      </c>
      <c r="I134" s="56">
        <v>16380767.6</v>
      </c>
      <c r="J134" s="56">
        <v>16380767.6</v>
      </c>
      <c r="K134" s="56">
        <v>16380767.6</v>
      </c>
      <c r="L134" s="56">
        <v>16364965.203299999</v>
      </c>
      <c r="M134" s="56">
        <f t="shared" si="4"/>
        <v>0</v>
      </c>
      <c r="N134" s="56">
        <v>16364965.203299999</v>
      </c>
      <c r="O134" s="80">
        <f t="shared" si="5"/>
        <v>99.903530792415367</v>
      </c>
      <c r="P134" s="80">
        <f t="shared" si="6"/>
        <v>99.903530792415367</v>
      </c>
    </row>
    <row r="135" spans="1:16">
      <c r="E135" s="78" t="s">
        <v>261</v>
      </c>
      <c r="F135" s="79" t="s">
        <v>325</v>
      </c>
      <c r="G135" s="56">
        <v>0</v>
      </c>
      <c r="H135" s="56">
        <v>0</v>
      </c>
      <c r="I135" s="56">
        <v>14338490</v>
      </c>
      <c r="J135" s="56">
        <v>14338490</v>
      </c>
      <c r="K135" s="56">
        <v>14338490</v>
      </c>
      <c r="L135" s="56">
        <v>14337430.2267</v>
      </c>
      <c r="M135" s="56">
        <f t="shared" si="4"/>
        <v>0</v>
      </c>
      <c r="N135" s="56">
        <v>14337430.2267</v>
      </c>
      <c r="O135" s="80">
        <f t="shared" si="5"/>
        <v>99.992608891870759</v>
      </c>
      <c r="P135" s="80">
        <f t="shared" si="6"/>
        <v>99.992608891870759</v>
      </c>
    </row>
    <row r="136" spans="1:16">
      <c r="E136" s="78" t="s">
        <v>326</v>
      </c>
      <c r="F136" s="79" t="s">
        <v>327</v>
      </c>
      <c r="G136" s="56">
        <v>0</v>
      </c>
      <c r="H136" s="56">
        <v>0</v>
      </c>
      <c r="I136" s="56">
        <v>2042277.6</v>
      </c>
      <c r="J136" s="56">
        <v>2042277.6</v>
      </c>
      <c r="K136" s="56">
        <v>2042277.6</v>
      </c>
      <c r="L136" s="56">
        <v>2027534.9765999999</v>
      </c>
      <c r="M136" s="56">
        <f t="shared" si="4"/>
        <v>0</v>
      </c>
      <c r="N136" s="56">
        <v>2027534.9765999999</v>
      </c>
      <c r="O136" s="80">
        <f t="shared" si="5"/>
        <v>99.278128330840033</v>
      </c>
      <c r="P136" s="80">
        <f t="shared" si="6"/>
        <v>99.278128330840033</v>
      </c>
    </row>
    <row r="137" spans="1:16">
      <c r="D137" s="186" t="s">
        <v>348</v>
      </c>
      <c r="F137" s="79" t="s">
        <v>349</v>
      </c>
      <c r="G137" s="56">
        <v>601443</v>
      </c>
      <c r="H137" s="56">
        <v>651288</v>
      </c>
      <c r="I137" s="56">
        <v>652579</v>
      </c>
      <c r="J137" s="56">
        <v>652579</v>
      </c>
      <c r="K137" s="56">
        <v>652579</v>
      </c>
      <c r="L137" s="56">
        <v>636557.85580000002</v>
      </c>
      <c r="M137" s="56">
        <f t="shared" si="4"/>
        <v>0</v>
      </c>
      <c r="N137" s="56">
        <v>636557.85580000002</v>
      </c>
      <c r="O137" s="80">
        <f t="shared" si="5"/>
        <v>97.544949469719384</v>
      </c>
      <c r="P137" s="80">
        <f t="shared" si="6"/>
        <v>97.544949469719384</v>
      </c>
    </row>
    <row r="138" spans="1:16">
      <c r="E138" s="78" t="s">
        <v>261</v>
      </c>
      <c r="F138" s="79" t="s">
        <v>325</v>
      </c>
      <c r="G138" s="56">
        <v>0</v>
      </c>
      <c r="H138" s="56">
        <v>0</v>
      </c>
      <c r="I138" s="56">
        <v>652579</v>
      </c>
      <c r="J138" s="56">
        <v>652579</v>
      </c>
      <c r="K138" s="56">
        <v>652579</v>
      </c>
      <c r="L138" s="56">
        <v>636557.85580000002</v>
      </c>
      <c r="M138" s="56">
        <f t="shared" si="4"/>
        <v>0</v>
      </c>
      <c r="N138" s="56">
        <v>636557.85580000002</v>
      </c>
      <c r="O138" s="80">
        <f t="shared" si="5"/>
        <v>97.544949469719384</v>
      </c>
      <c r="P138" s="80">
        <f t="shared" si="6"/>
        <v>97.544949469719384</v>
      </c>
    </row>
    <row r="139" spans="1:16" ht="21">
      <c r="D139" s="186" t="s">
        <v>350</v>
      </c>
      <c r="F139" s="79" t="s">
        <v>351</v>
      </c>
      <c r="G139" s="56">
        <v>23832229</v>
      </c>
      <c r="H139" s="56">
        <v>26693800.199999999</v>
      </c>
      <c r="I139" s="56">
        <v>26638086.199999999</v>
      </c>
      <c r="J139" s="56">
        <v>26638086.199999999</v>
      </c>
      <c r="K139" s="56">
        <v>26638086.199999999</v>
      </c>
      <c r="L139" s="56">
        <v>26638085.434700001</v>
      </c>
      <c r="M139" s="56">
        <f t="shared" si="4"/>
        <v>1.4999993145465851E-3</v>
      </c>
      <c r="N139" s="56">
        <v>26638085.433200002</v>
      </c>
      <c r="O139" s="80">
        <f t="shared" si="5"/>
        <v>99.999997121414836</v>
      </c>
      <c r="P139" s="80">
        <f t="shared" si="6"/>
        <v>99.999997121414836</v>
      </c>
    </row>
    <row r="140" spans="1:16">
      <c r="E140" s="78" t="s">
        <v>261</v>
      </c>
      <c r="F140" s="79" t="s">
        <v>325</v>
      </c>
      <c r="G140" s="56">
        <v>0</v>
      </c>
      <c r="H140" s="56">
        <v>0</v>
      </c>
      <c r="I140" s="56">
        <v>23462374</v>
      </c>
      <c r="J140" s="56">
        <v>23462374</v>
      </c>
      <c r="K140" s="56">
        <v>23462374</v>
      </c>
      <c r="L140" s="56">
        <v>23462373.548160002</v>
      </c>
      <c r="M140" s="56">
        <f t="shared" si="4"/>
        <v>9.2000141739845276E-4</v>
      </c>
      <c r="N140" s="56">
        <v>23462373.54724</v>
      </c>
      <c r="O140" s="80">
        <f t="shared" si="5"/>
        <v>99.999998070271999</v>
      </c>
      <c r="P140" s="80">
        <f t="shared" si="6"/>
        <v>99.999998070271999</v>
      </c>
    </row>
    <row r="141" spans="1:16">
      <c r="E141" s="78" t="s">
        <v>326</v>
      </c>
      <c r="F141" s="79" t="s">
        <v>327</v>
      </c>
      <c r="G141" s="56">
        <v>0</v>
      </c>
      <c r="H141" s="56">
        <v>0</v>
      </c>
      <c r="I141" s="56">
        <v>3175712.2</v>
      </c>
      <c r="J141" s="56">
        <v>3175712.2</v>
      </c>
      <c r="K141" s="56">
        <v>3175712.2</v>
      </c>
      <c r="L141" s="56">
        <v>3175711.8865</v>
      </c>
      <c r="M141" s="56">
        <f t="shared" si="4"/>
        <v>5.1000015810132027E-4</v>
      </c>
      <c r="N141" s="56">
        <v>3175711.8859899999</v>
      </c>
      <c r="O141" s="80">
        <f t="shared" si="5"/>
        <v>99.999990112139244</v>
      </c>
      <c r="P141" s="80">
        <f t="shared" si="6"/>
        <v>99.999990112139244</v>
      </c>
    </row>
    <row r="142" spans="1:16" ht="22.5">
      <c r="A142" s="76"/>
      <c r="B142" s="76"/>
      <c r="C142" s="76" t="s">
        <v>328</v>
      </c>
      <c r="D142" s="76"/>
      <c r="E142" s="76"/>
      <c r="F142" s="87" t="s">
        <v>329</v>
      </c>
      <c r="G142" s="55">
        <v>29135534</v>
      </c>
      <c r="H142" s="55">
        <v>29047488.300000001</v>
      </c>
      <c r="I142" s="55">
        <v>29047488.300000001</v>
      </c>
      <c r="J142" s="55">
        <v>29047488.300000001</v>
      </c>
      <c r="K142" s="55">
        <v>29047488.300000001</v>
      </c>
      <c r="L142" s="55">
        <v>29010899.394900002</v>
      </c>
      <c r="M142" s="55">
        <f t="shared" ref="M142:M205" si="7">L142-N142</f>
        <v>0</v>
      </c>
      <c r="N142" s="55">
        <v>29010899.394900002</v>
      </c>
      <c r="O142" s="77">
        <f t="shared" si="5"/>
        <v>99.874037628582158</v>
      </c>
      <c r="P142" s="77">
        <f t="shared" si="6"/>
        <v>99.874037628582158</v>
      </c>
    </row>
    <row r="143" spans="1:16" ht="31.5">
      <c r="D143" s="186" t="s">
        <v>253</v>
      </c>
      <c r="F143" s="79" t="s">
        <v>339</v>
      </c>
      <c r="G143" s="56">
        <v>11789941</v>
      </c>
      <c r="H143" s="56">
        <v>11548596.5</v>
      </c>
      <c r="I143" s="56">
        <v>11548596.5</v>
      </c>
      <c r="J143" s="56">
        <v>11548596.5</v>
      </c>
      <c r="K143" s="56">
        <v>11548596.5</v>
      </c>
      <c r="L143" s="56">
        <v>11546605.340299999</v>
      </c>
      <c r="M143" s="56">
        <f t="shared" si="7"/>
        <v>0</v>
      </c>
      <c r="N143" s="56">
        <v>11546605.340299999</v>
      </c>
      <c r="O143" s="80">
        <f t="shared" si="5"/>
        <v>99.98275842696556</v>
      </c>
      <c r="P143" s="80">
        <f t="shared" si="6"/>
        <v>99.98275842696556</v>
      </c>
    </row>
    <row r="144" spans="1:16">
      <c r="E144" s="78" t="s">
        <v>261</v>
      </c>
      <c r="F144" s="79" t="s">
        <v>325</v>
      </c>
      <c r="G144" s="56">
        <v>0</v>
      </c>
      <c r="H144" s="56">
        <v>0</v>
      </c>
      <c r="I144" s="56">
        <v>1728175</v>
      </c>
      <c r="J144" s="56">
        <v>1728175</v>
      </c>
      <c r="K144" s="56">
        <v>1728175</v>
      </c>
      <c r="L144" s="56">
        <v>1726293.4450999999</v>
      </c>
      <c r="M144" s="56">
        <f t="shared" si="7"/>
        <v>0</v>
      </c>
      <c r="N144" s="56">
        <v>1726293.4450999999</v>
      </c>
      <c r="O144" s="80">
        <f t="shared" si="5"/>
        <v>99.891124747204415</v>
      </c>
      <c r="P144" s="80">
        <f t="shared" si="6"/>
        <v>99.891124747204415</v>
      </c>
    </row>
    <row r="145" spans="4:16">
      <c r="E145" s="78" t="s">
        <v>326</v>
      </c>
      <c r="F145" s="79" t="s">
        <v>327</v>
      </c>
      <c r="G145" s="56">
        <v>0</v>
      </c>
      <c r="H145" s="56">
        <v>0</v>
      </c>
      <c r="I145" s="56">
        <v>9820421.5</v>
      </c>
      <c r="J145" s="56">
        <v>9820421.5</v>
      </c>
      <c r="K145" s="56">
        <v>9820421.5</v>
      </c>
      <c r="L145" s="56">
        <v>9820311.8952300008</v>
      </c>
      <c r="M145" s="56">
        <f t="shared" si="7"/>
        <v>0</v>
      </c>
      <c r="N145" s="56">
        <v>9820311.8952300008</v>
      </c>
      <c r="O145" s="80">
        <f t="shared" si="5"/>
        <v>99.998883909718145</v>
      </c>
      <c r="P145" s="80">
        <f t="shared" si="6"/>
        <v>99.998883909718145</v>
      </c>
    </row>
    <row r="146" spans="4:16">
      <c r="D146" s="186" t="s">
        <v>249</v>
      </c>
      <c r="F146" s="79" t="s">
        <v>340</v>
      </c>
      <c r="G146" s="56">
        <v>475404</v>
      </c>
      <c r="H146" s="56">
        <v>406647</v>
      </c>
      <c r="I146" s="56">
        <v>406647</v>
      </c>
      <c r="J146" s="56">
        <v>406647</v>
      </c>
      <c r="K146" s="56">
        <v>406647</v>
      </c>
      <c r="L146" s="56">
        <v>406644.60399999999</v>
      </c>
      <c r="M146" s="56">
        <f t="shared" si="7"/>
        <v>0</v>
      </c>
      <c r="N146" s="56">
        <v>406644.60399999999</v>
      </c>
      <c r="O146" s="80">
        <f t="shared" si="5"/>
        <v>99.999410791177596</v>
      </c>
      <c r="P146" s="80">
        <f t="shared" si="6"/>
        <v>99.999410791177596</v>
      </c>
    </row>
    <row r="147" spans="4:16">
      <c r="E147" s="78" t="s">
        <v>261</v>
      </c>
      <c r="F147" s="79" t="s">
        <v>325</v>
      </c>
      <c r="G147" s="56">
        <v>0</v>
      </c>
      <c r="H147" s="56">
        <v>0</v>
      </c>
      <c r="I147" s="56">
        <v>406647</v>
      </c>
      <c r="J147" s="56">
        <v>406647</v>
      </c>
      <c r="K147" s="56">
        <v>406647</v>
      </c>
      <c r="L147" s="56">
        <v>406644.60398000001</v>
      </c>
      <c r="M147" s="56">
        <f t="shared" si="7"/>
        <v>0</v>
      </c>
      <c r="N147" s="56">
        <v>406644.60398000001</v>
      </c>
      <c r="O147" s="80">
        <f t="shared" si="5"/>
        <v>99.999410786259332</v>
      </c>
      <c r="P147" s="80">
        <f t="shared" si="6"/>
        <v>99.999410786259332</v>
      </c>
    </row>
    <row r="148" spans="4:16">
      <c r="D148" s="186" t="s">
        <v>303</v>
      </c>
      <c r="F148" s="79" t="s">
        <v>341</v>
      </c>
      <c r="G148" s="56">
        <v>1384682</v>
      </c>
      <c r="H148" s="56">
        <v>1342503</v>
      </c>
      <c r="I148" s="56">
        <v>1342503</v>
      </c>
      <c r="J148" s="56">
        <v>1342503</v>
      </c>
      <c r="K148" s="56">
        <v>1342503</v>
      </c>
      <c r="L148" s="56">
        <v>1342492.105</v>
      </c>
      <c r="M148" s="56">
        <f t="shared" si="7"/>
        <v>0</v>
      </c>
      <c r="N148" s="56">
        <v>1342492.105</v>
      </c>
      <c r="O148" s="80">
        <f t="shared" si="5"/>
        <v>99.999188456189671</v>
      </c>
      <c r="P148" s="80">
        <f t="shared" si="6"/>
        <v>99.999188456189671</v>
      </c>
    </row>
    <row r="149" spans="4:16">
      <c r="E149" s="78" t="s">
        <v>261</v>
      </c>
      <c r="F149" s="79" t="s">
        <v>325</v>
      </c>
      <c r="G149" s="56">
        <v>0</v>
      </c>
      <c r="H149" s="56">
        <v>0</v>
      </c>
      <c r="I149" s="56">
        <v>1342503</v>
      </c>
      <c r="J149" s="56">
        <v>1342503</v>
      </c>
      <c r="K149" s="56">
        <v>1342503</v>
      </c>
      <c r="L149" s="56">
        <v>1342492.1050199999</v>
      </c>
      <c r="M149" s="56">
        <f t="shared" si="7"/>
        <v>0</v>
      </c>
      <c r="N149" s="56">
        <v>1342492.1050199999</v>
      </c>
      <c r="O149" s="80">
        <f t="shared" si="5"/>
        <v>99.999188457679423</v>
      </c>
      <c r="P149" s="80">
        <f t="shared" si="6"/>
        <v>99.999188457679423</v>
      </c>
    </row>
    <row r="150" spans="4:16">
      <c r="D150" s="186" t="s">
        <v>307</v>
      </c>
      <c r="F150" s="79" t="s">
        <v>342</v>
      </c>
      <c r="G150" s="56">
        <v>556992</v>
      </c>
      <c r="H150" s="56">
        <v>543963</v>
      </c>
      <c r="I150" s="56">
        <v>543963</v>
      </c>
      <c r="J150" s="56">
        <v>543963</v>
      </c>
      <c r="K150" s="56">
        <v>543963</v>
      </c>
      <c r="L150" s="56">
        <v>543744.41850000003</v>
      </c>
      <c r="M150" s="56">
        <f t="shared" si="7"/>
        <v>0</v>
      </c>
      <c r="N150" s="56">
        <v>543744.41850000003</v>
      </c>
      <c r="O150" s="80">
        <f t="shared" si="5"/>
        <v>99.959816844160372</v>
      </c>
      <c r="P150" s="80">
        <f t="shared" si="6"/>
        <v>99.959816844160372</v>
      </c>
    </row>
    <row r="151" spans="4:16">
      <c r="E151" s="78" t="s">
        <v>261</v>
      </c>
      <c r="F151" s="79" t="s">
        <v>325</v>
      </c>
      <c r="G151" s="56">
        <v>0</v>
      </c>
      <c r="H151" s="56">
        <v>0</v>
      </c>
      <c r="I151" s="56">
        <v>543963</v>
      </c>
      <c r="J151" s="56">
        <v>543963</v>
      </c>
      <c r="K151" s="56">
        <v>543963</v>
      </c>
      <c r="L151" s="56">
        <v>543744.41850000003</v>
      </c>
      <c r="M151" s="56">
        <f t="shared" si="7"/>
        <v>0</v>
      </c>
      <c r="N151" s="56">
        <v>543744.41850000003</v>
      </c>
      <c r="O151" s="80">
        <f t="shared" si="5"/>
        <v>99.959816844160372</v>
      </c>
      <c r="P151" s="80">
        <f t="shared" si="6"/>
        <v>99.959816844160372</v>
      </c>
    </row>
    <row r="152" spans="4:16" ht="31.5">
      <c r="D152" s="186" t="s">
        <v>309</v>
      </c>
      <c r="F152" s="79" t="s">
        <v>343</v>
      </c>
      <c r="G152" s="56">
        <v>2048159</v>
      </c>
      <c r="H152" s="56">
        <v>2029741.4</v>
      </c>
      <c r="I152" s="56">
        <v>2029741.4</v>
      </c>
      <c r="J152" s="56">
        <v>2029741.4</v>
      </c>
      <c r="K152" s="56">
        <v>2029741.4</v>
      </c>
      <c r="L152" s="56">
        <v>2002865.6044999999</v>
      </c>
      <c r="M152" s="56">
        <f t="shared" si="7"/>
        <v>0</v>
      </c>
      <c r="N152" s="56">
        <v>2002865.6044999999</v>
      </c>
      <c r="O152" s="80">
        <f t="shared" si="5"/>
        <v>98.675900511267102</v>
      </c>
      <c r="P152" s="80">
        <f t="shared" si="6"/>
        <v>98.675900511267102</v>
      </c>
    </row>
    <row r="153" spans="4:16">
      <c r="E153" s="78" t="s">
        <v>261</v>
      </c>
      <c r="F153" s="79" t="s">
        <v>325</v>
      </c>
      <c r="G153" s="56">
        <v>0</v>
      </c>
      <c r="H153" s="56">
        <v>0</v>
      </c>
      <c r="I153" s="56">
        <v>1626790</v>
      </c>
      <c r="J153" s="56">
        <v>1626790</v>
      </c>
      <c r="K153" s="56">
        <v>1626790</v>
      </c>
      <c r="L153" s="56">
        <v>1599914.2804700001</v>
      </c>
      <c r="M153" s="56">
        <f t="shared" si="7"/>
        <v>0</v>
      </c>
      <c r="N153" s="56">
        <v>1599914.2804700001</v>
      </c>
      <c r="O153" s="80">
        <f t="shared" si="5"/>
        <v>98.34792938670634</v>
      </c>
      <c r="P153" s="80">
        <f t="shared" si="6"/>
        <v>98.34792938670634</v>
      </c>
    </row>
    <row r="154" spans="4:16">
      <c r="E154" s="78" t="s">
        <v>326</v>
      </c>
      <c r="F154" s="79" t="s">
        <v>327</v>
      </c>
      <c r="G154" s="56">
        <v>0</v>
      </c>
      <c r="H154" s="56">
        <v>0</v>
      </c>
      <c r="I154" s="56">
        <v>402951.4</v>
      </c>
      <c r="J154" s="56">
        <v>402951.4</v>
      </c>
      <c r="K154" s="56">
        <v>402951.4</v>
      </c>
      <c r="L154" s="56">
        <v>402951.32400000002</v>
      </c>
      <c r="M154" s="56">
        <f t="shared" si="7"/>
        <v>0</v>
      </c>
      <c r="N154" s="56">
        <v>402951.32400000002</v>
      </c>
      <c r="O154" s="80">
        <f t="shared" si="5"/>
        <v>99.999981139164674</v>
      </c>
      <c r="P154" s="80">
        <f t="shared" si="6"/>
        <v>99.999981139164674</v>
      </c>
    </row>
    <row r="155" spans="4:16">
      <c r="D155" s="186" t="s">
        <v>344</v>
      </c>
      <c r="F155" s="79" t="s">
        <v>345</v>
      </c>
      <c r="G155" s="56">
        <v>1989495</v>
      </c>
      <c r="H155" s="56">
        <v>2392701</v>
      </c>
      <c r="I155" s="56">
        <v>2392701</v>
      </c>
      <c r="J155" s="56">
        <v>2392701</v>
      </c>
      <c r="K155" s="56">
        <v>2392701</v>
      </c>
      <c r="L155" s="56">
        <v>2392556.9430999998</v>
      </c>
      <c r="M155" s="56">
        <f t="shared" si="7"/>
        <v>0</v>
      </c>
      <c r="N155" s="56">
        <v>2392556.9430999998</v>
      </c>
      <c r="O155" s="80">
        <f t="shared" si="5"/>
        <v>99.99397931876986</v>
      </c>
      <c r="P155" s="80">
        <f t="shared" si="6"/>
        <v>99.99397931876986</v>
      </c>
    </row>
    <row r="156" spans="4:16">
      <c r="E156" s="78" t="s">
        <v>261</v>
      </c>
      <c r="F156" s="79" t="s">
        <v>325</v>
      </c>
      <c r="G156" s="56">
        <v>0</v>
      </c>
      <c r="H156" s="56">
        <v>0</v>
      </c>
      <c r="I156" s="56">
        <v>2392701</v>
      </c>
      <c r="J156" s="56">
        <v>2392701</v>
      </c>
      <c r="K156" s="56">
        <v>2392701</v>
      </c>
      <c r="L156" s="56">
        <v>2392556.94307</v>
      </c>
      <c r="M156" s="56">
        <f t="shared" si="7"/>
        <v>0</v>
      </c>
      <c r="N156" s="56">
        <v>2392556.94307</v>
      </c>
      <c r="O156" s="80">
        <f t="shared" si="5"/>
        <v>99.993979317516064</v>
      </c>
      <c r="P156" s="80">
        <f t="shared" si="6"/>
        <v>99.993979317516064</v>
      </c>
    </row>
    <row r="157" spans="4:16" ht="21">
      <c r="D157" s="186" t="s">
        <v>346</v>
      </c>
      <c r="F157" s="79" t="s">
        <v>347</v>
      </c>
      <c r="G157" s="56">
        <v>3657801</v>
      </c>
      <c r="H157" s="56">
        <v>3214848</v>
      </c>
      <c r="I157" s="56">
        <v>3214848</v>
      </c>
      <c r="J157" s="56">
        <v>3214848</v>
      </c>
      <c r="K157" s="56">
        <v>3214848</v>
      </c>
      <c r="L157" s="56">
        <v>3207713.4712</v>
      </c>
      <c r="M157" s="56">
        <f t="shared" si="7"/>
        <v>0</v>
      </c>
      <c r="N157" s="56">
        <v>3207713.4712</v>
      </c>
      <c r="O157" s="80">
        <f t="shared" si="5"/>
        <v>99.778075703734672</v>
      </c>
      <c r="P157" s="80">
        <f t="shared" si="6"/>
        <v>99.778075703734672</v>
      </c>
    </row>
    <row r="158" spans="4:16">
      <c r="E158" s="78" t="s">
        <v>261</v>
      </c>
      <c r="F158" s="79" t="s">
        <v>325</v>
      </c>
      <c r="G158" s="56">
        <v>0</v>
      </c>
      <c r="H158" s="56">
        <v>0</v>
      </c>
      <c r="I158" s="56">
        <v>2957089</v>
      </c>
      <c r="J158" s="56">
        <v>2957089</v>
      </c>
      <c r="K158" s="56">
        <v>2957089</v>
      </c>
      <c r="L158" s="56">
        <v>2950247.6754899998</v>
      </c>
      <c r="M158" s="56">
        <f t="shared" si="7"/>
        <v>0</v>
      </c>
      <c r="N158" s="56">
        <v>2950247.6754899998</v>
      </c>
      <c r="O158" s="80">
        <f t="shared" si="5"/>
        <v>99.768646648443777</v>
      </c>
      <c r="P158" s="80">
        <f t="shared" si="6"/>
        <v>99.768646648443777</v>
      </c>
    </row>
    <row r="159" spans="4:16">
      <c r="E159" s="78" t="s">
        <v>326</v>
      </c>
      <c r="F159" s="79" t="s">
        <v>327</v>
      </c>
      <c r="G159" s="56">
        <v>0</v>
      </c>
      <c r="H159" s="56">
        <v>0</v>
      </c>
      <c r="I159" s="56">
        <v>257759</v>
      </c>
      <c r="J159" s="56">
        <v>257759</v>
      </c>
      <c r="K159" s="56">
        <v>257759</v>
      </c>
      <c r="L159" s="56">
        <v>257465.79579999999</v>
      </c>
      <c r="M159" s="56">
        <f t="shared" si="7"/>
        <v>0</v>
      </c>
      <c r="N159" s="56">
        <v>257465.79579999999</v>
      </c>
      <c r="O159" s="80">
        <f t="shared" si="5"/>
        <v>99.886248705185849</v>
      </c>
      <c r="P159" s="80">
        <f t="shared" si="6"/>
        <v>99.886248705185849</v>
      </c>
    </row>
    <row r="160" spans="4:16">
      <c r="D160" s="186" t="s">
        <v>348</v>
      </c>
      <c r="F160" s="79" t="s">
        <v>349</v>
      </c>
      <c r="G160" s="56">
        <v>174073</v>
      </c>
      <c r="H160" s="56">
        <v>171551</v>
      </c>
      <c r="I160" s="56">
        <v>171551</v>
      </c>
      <c r="J160" s="56">
        <v>171551</v>
      </c>
      <c r="K160" s="56">
        <v>171551</v>
      </c>
      <c r="L160" s="56">
        <v>171339.67199999999</v>
      </c>
      <c r="M160" s="56">
        <f t="shared" si="7"/>
        <v>0</v>
      </c>
      <c r="N160" s="56">
        <v>171339.67199999999</v>
      </c>
      <c r="O160" s="80">
        <f t="shared" si="5"/>
        <v>99.876813309161705</v>
      </c>
      <c r="P160" s="80">
        <f t="shared" si="6"/>
        <v>99.876813309161705</v>
      </c>
    </row>
    <row r="161" spans="1:19">
      <c r="E161" s="78" t="s">
        <v>261</v>
      </c>
      <c r="F161" s="79" t="s">
        <v>325</v>
      </c>
      <c r="G161" s="56">
        <v>0</v>
      </c>
      <c r="H161" s="56">
        <v>0</v>
      </c>
      <c r="I161" s="56">
        <v>171551</v>
      </c>
      <c r="J161" s="56">
        <v>171551</v>
      </c>
      <c r="K161" s="56">
        <v>171551</v>
      </c>
      <c r="L161" s="56">
        <v>171339.67199999999</v>
      </c>
      <c r="M161" s="56">
        <f t="shared" si="7"/>
        <v>0</v>
      </c>
      <c r="N161" s="56">
        <v>171339.67199999999</v>
      </c>
      <c r="O161" s="80">
        <f t="shared" si="5"/>
        <v>99.876813309161705</v>
      </c>
      <c r="P161" s="80">
        <f t="shared" si="6"/>
        <v>99.876813309161705</v>
      </c>
    </row>
    <row r="162" spans="1:19" ht="21">
      <c r="D162" s="186" t="s">
        <v>350</v>
      </c>
      <c r="F162" s="79" t="s">
        <v>351</v>
      </c>
      <c r="G162" s="56">
        <v>7058987</v>
      </c>
      <c r="H162" s="56">
        <v>7396937.4000000004</v>
      </c>
      <c r="I162" s="56">
        <v>7396937.4000000004</v>
      </c>
      <c r="J162" s="56">
        <v>7396937.4000000004</v>
      </c>
      <c r="K162" s="56">
        <v>7396937.4000000004</v>
      </c>
      <c r="L162" s="56">
        <v>7396937.2363</v>
      </c>
      <c r="M162" s="56">
        <f t="shared" si="7"/>
        <v>0</v>
      </c>
      <c r="N162" s="56">
        <v>7396937.2363</v>
      </c>
      <c r="O162" s="80">
        <f t="shared" si="5"/>
        <v>99.999997786921909</v>
      </c>
      <c r="P162" s="80">
        <f t="shared" si="6"/>
        <v>99.999997786921909</v>
      </c>
    </row>
    <row r="163" spans="1:19">
      <c r="E163" s="78" t="s">
        <v>261</v>
      </c>
      <c r="F163" s="79" t="s">
        <v>325</v>
      </c>
      <c r="G163" s="56">
        <v>0</v>
      </c>
      <c r="H163" s="56">
        <v>0</v>
      </c>
      <c r="I163" s="56">
        <v>6366463</v>
      </c>
      <c r="J163" s="56">
        <v>6366463</v>
      </c>
      <c r="K163" s="56">
        <v>6366463</v>
      </c>
      <c r="L163" s="56">
        <v>6366462.8362699999</v>
      </c>
      <c r="M163" s="56">
        <f t="shared" si="7"/>
        <v>0</v>
      </c>
      <c r="N163" s="56">
        <v>6366462.8362699999</v>
      </c>
      <c r="O163" s="80">
        <f t="shared" si="5"/>
        <v>99.999997428242338</v>
      </c>
      <c r="P163" s="80">
        <f t="shared" si="6"/>
        <v>99.999997428242338</v>
      </c>
    </row>
    <row r="164" spans="1:19">
      <c r="E164" s="78" t="s">
        <v>326</v>
      </c>
      <c r="F164" s="79" t="s">
        <v>327</v>
      </c>
      <c r="G164" s="56">
        <v>0</v>
      </c>
      <c r="H164" s="56">
        <v>0</v>
      </c>
      <c r="I164" s="56">
        <v>1030474.4</v>
      </c>
      <c r="J164" s="56">
        <v>1030474.4</v>
      </c>
      <c r="K164" s="56">
        <v>1030474.4</v>
      </c>
      <c r="L164" s="56">
        <v>1030474.4</v>
      </c>
      <c r="M164" s="56">
        <f t="shared" si="7"/>
        <v>0</v>
      </c>
      <c r="N164" s="56">
        <v>1030474.4</v>
      </c>
      <c r="O164" s="80">
        <f t="shared" si="5"/>
        <v>100</v>
      </c>
      <c r="P164" s="80">
        <f t="shared" si="6"/>
        <v>100</v>
      </c>
    </row>
    <row r="165" spans="1:19">
      <c r="A165" s="74"/>
      <c r="B165" s="74" t="s">
        <v>352</v>
      </c>
      <c r="C165" s="74"/>
      <c r="D165" s="74"/>
      <c r="E165" s="74"/>
      <c r="F165" s="52" t="s">
        <v>353</v>
      </c>
      <c r="G165" s="53">
        <v>242361872</v>
      </c>
      <c r="H165" s="53">
        <v>284229411.89999998</v>
      </c>
      <c r="I165" s="53">
        <v>284142087.89999998</v>
      </c>
      <c r="J165" s="53">
        <v>284142087.89999998</v>
      </c>
      <c r="K165" s="53">
        <v>284142087.89999998</v>
      </c>
      <c r="L165" s="53">
        <v>284103748.01419997</v>
      </c>
      <c r="M165" s="53">
        <f t="shared" si="7"/>
        <v>221989.43629997969</v>
      </c>
      <c r="N165" s="53">
        <v>283881758.57789999</v>
      </c>
      <c r="O165" s="75">
        <f t="shared" si="5"/>
        <v>99.908380583804387</v>
      </c>
      <c r="P165" s="75">
        <f t="shared" si="6"/>
        <v>99.908380583804387</v>
      </c>
    </row>
    <row r="166" spans="1:19">
      <c r="A166" s="76"/>
      <c r="B166" s="76"/>
      <c r="C166" s="76" t="s">
        <v>322</v>
      </c>
      <c r="D166" s="76"/>
      <c r="E166" s="76"/>
      <c r="F166" s="103" t="s">
        <v>323</v>
      </c>
      <c r="G166" s="55">
        <v>210633752</v>
      </c>
      <c r="H166" s="55">
        <v>252911451.40000001</v>
      </c>
      <c r="I166" s="55">
        <v>252824127.40000001</v>
      </c>
      <c r="J166" s="55">
        <v>252824127.40000001</v>
      </c>
      <c r="K166" s="55">
        <v>252824127.40000001</v>
      </c>
      <c r="L166" s="55">
        <v>252786118.7843</v>
      </c>
      <c r="M166" s="55">
        <f t="shared" si="7"/>
        <v>222011.6236999929</v>
      </c>
      <c r="N166" s="55">
        <v>252564107.16060001</v>
      </c>
      <c r="O166" s="77">
        <f t="shared" si="5"/>
        <v>99.897153708360833</v>
      </c>
      <c r="P166" s="77">
        <f t="shared" si="6"/>
        <v>99.897153708360833</v>
      </c>
    </row>
    <row r="167" spans="1:19" ht="31.5">
      <c r="D167" s="186" t="s">
        <v>289</v>
      </c>
      <c r="F167" s="79" t="s">
        <v>354</v>
      </c>
      <c r="G167" s="56">
        <v>17529442</v>
      </c>
      <c r="H167" s="56">
        <v>18426118.699999999</v>
      </c>
      <c r="I167" s="56">
        <v>18421289.699999999</v>
      </c>
      <c r="J167" s="56">
        <v>18421289.699999999</v>
      </c>
      <c r="K167" s="56">
        <v>18421289.699999999</v>
      </c>
      <c r="L167" s="56">
        <v>18421235.040899999</v>
      </c>
      <c r="M167" s="56">
        <f t="shared" si="7"/>
        <v>109976.86769999936</v>
      </c>
      <c r="N167" s="56">
        <v>18311258.1732</v>
      </c>
      <c r="O167" s="80">
        <f t="shared" si="5"/>
        <v>99.402693684362404</v>
      </c>
      <c r="P167" s="80">
        <f t="shared" si="6"/>
        <v>99.402693684362404</v>
      </c>
      <c r="R167" s="49">
        <v>11</v>
      </c>
      <c r="S167" s="56">
        <f>N173+N176+N188+N191</f>
        <v>237683915.06139001</v>
      </c>
    </row>
    <row r="168" spans="1:19" ht="21">
      <c r="E168" s="78" t="s">
        <v>259</v>
      </c>
      <c r="F168" s="79" t="s">
        <v>355</v>
      </c>
      <c r="G168" s="56">
        <v>0</v>
      </c>
      <c r="H168" s="56">
        <v>0</v>
      </c>
      <c r="I168" s="56">
        <v>91104.8</v>
      </c>
      <c r="J168" s="56">
        <v>91104.8</v>
      </c>
      <c r="K168" s="56">
        <v>91104.8</v>
      </c>
      <c r="L168" s="56">
        <v>91104.064629999993</v>
      </c>
      <c r="M168" s="56">
        <f t="shared" si="7"/>
        <v>9.9999888334423304E-6</v>
      </c>
      <c r="N168" s="56">
        <v>91104.064620000005</v>
      </c>
      <c r="O168" s="80">
        <f t="shared" si="5"/>
        <v>99.999192819697754</v>
      </c>
      <c r="P168" s="80">
        <f t="shared" si="6"/>
        <v>99.999192819697754</v>
      </c>
      <c r="R168" s="49">
        <v>15</v>
      </c>
      <c r="S168" s="56">
        <f>N174+N177+N189+N192</f>
        <v>14895147.376300002</v>
      </c>
    </row>
    <row r="169" spans="1:19">
      <c r="E169" s="78" t="s">
        <v>265</v>
      </c>
      <c r="F169" s="79" t="s">
        <v>356</v>
      </c>
      <c r="G169" s="56">
        <v>0</v>
      </c>
      <c r="H169" s="56">
        <v>0</v>
      </c>
      <c r="I169" s="56">
        <v>51189.4</v>
      </c>
      <c r="J169" s="56">
        <v>51189.4</v>
      </c>
      <c r="K169" s="56">
        <v>51189.4</v>
      </c>
      <c r="L169" s="56">
        <v>51189.20304</v>
      </c>
      <c r="M169" s="56">
        <f t="shared" si="7"/>
        <v>0.73920999999972992</v>
      </c>
      <c r="N169" s="56">
        <v>51188.463830000001</v>
      </c>
      <c r="O169" s="80">
        <f t="shared" si="5"/>
        <v>99.998171164342622</v>
      </c>
      <c r="P169" s="80">
        <f t="shared" si="6"/>
        <v>99.998171164342622</v>
      </c>
    </row>
    <row r="170" spans="1:19" ht="21">
      <c r="E170" s="78" t="s">
        <v>267</v>
      </c>
      <c r="F170" s="79" t="s">
        <v>357</v>
      </c>
      <c r="G170" s="56">
        <v>0</v>
      </c>
      <c r="H170" s="56">
        <v>0</v>
      </c>
      <c r="I170" s="56">
        <v>95764.4</v>
      </c>
      <c r="J170" s="56">
        <v>95764.4</v>
      </c>
      <c r="K170" s="56">
        <v>95764.4</v>
      </c>
      <c r="L170" s="56">
        <v>95764.096430000005</v>
      </c>
      <c r="M170" s="56">
        <f t="shared" si="7"/>
        <v>2.9337200000009034</v>
      </c>
      <c r="N170" s="56">
        <v>95761.162710000004</v>
      </c>
      <c r="O170" s="80">
        <f t="shared" si="5"/>
        <v>99.996619526671708</v>
      </c>
      <c r="P170" s="80">
        <f t="shared" si="6"/>
        <v>99.996619526671708</v>
      </c>
    </row>
    <row r="171" spans="1:19" ht="31.5">
      <c r="E171" s="78" t="s">
        <v>269</v>
      </c>
      <c r="F171" s="79" t="s">
        <v>354</v>
      </c>
      <c r="G171" s="56">
        <v>0</v>
      </c>
      <c r="H171" s="56">
        <v>0</v>
      </c>
      <c r="I171" s="56">
        <v>18183231.100000001</v>
      </c>
      <c r="J171" s="56">
        <v>18183231.100000001</v>
      </c>
      <c r="K171" s="56">
        <v>18183231.100000001</v>
      </c>
      <c r="L171" s="56">
        <v>18183177.676800001</v>
      </c>
      <c r="M171" s="56">
        <f t="shared" si="7"/>
        <v>109973.19480000064</v>
      </c>
      <c r="N171" s="56">
        <v>18073204.482000001</v>
      </c>
      <c r="O171" s="80">
        <f t="shared" si="5"/>
        <v>99.394900623575083</v>
      </c>
      <c r="P171" s="80">
        <f t="shared" si="6"/>
        <v>99.394900623575083</v>
      </c>
    </row>
    <row r="172" spans="1:19" ht="21">
      <c r="D172" s="186" t="s">
        <v>358</v>
      </c>
      <c r="F172" s="79" t="s">
        <v>359</v>
      </c>
      <c r="G172" s="56">
        <v>3336241</v>
      </c>
      <c r="H172" s="56">
        <v>3375898</v>
      </c>
      <c r="I172" s="56">
        <v>3338482</v>
      </c>
      <c r="J172" s="56">
        <v>3338482</v>
      </c>
      <c r="K172" s="56">
        <v>3338482</v>
      </c>
      <c r="L172" s="56">
        <v>3336832.1228</v>
      </c>
      <c r="M172" s="56">
        <f t="shared" si="7"/>
        <v>419.23260000022128</v>
      </c>
      <c r="N172" s="56">
        <v>3336412.8901999998</v>
      </c>
      <c r="O172" s="80">
        <f t="shared" si="5"/>
        <v>99.9380224365445</v>
      </c>
      <c r="P172" s="80">
        <f t="shared" si="6"/>
        <v>99.9380224365445</v>
      </c>
    </row>
    <row r="173" spans="1:19">
      <c r="E173" s="78" t="s">
        <v>261</v>
      </c>
      <c r="F173" s="79" t="s">
        <v>325</v>
      </c>
      <c r="G173" s="56">
        <v>0</v>
      </c>
      <c r="H173" s="56">
        <v>0</v>
      </c>
      <c r="I173" s="56">
        <v>3310191</v>
      </c>
      <c r="J173" s="56">
        <v>3310191</v>
      </c>
      <c r="K173" s="56">
        <v>3310191</v>
      </c>
      <c r="L173" s="56">
        <v>3308542.5092000002</v>
      </c>
      <c r="M173" s="56">
        <f t="shared" si="7"/>
        <v>419.23190000001341</v>
      </c>
      <c r="N173" s="56">
        <v>3308123.2773000002</v>
      </c>
      <c r="O173" s="80">
        <f t="shared" si="5"/>
        <v>99.937534640750343</v>
      </c>
      <c r="P173" s="80">
        <f t="shared" si="6"/>
        <v>99.937534640750343</v>
      </c>
    </row>
    <row r="174" spans="1:19">
      <c r="E174" s="78" t="s">
        <v>326</v>
      </c>
      <c r="F174" s="79" t="s">
        <v>327</v>
      </c>
      <c r="G174" s="56">
        <v>0</v>
      </c>
      <c r="H174" s="56">
        <v>0</v>
      </c>
      <c r="I174" s="56">
        <v>28291</v>
      </c>
      <c r="J174" s="56">
        <v>28291</v>
      </c>
      <c r="K174" s="56">
        <v>28291</v>
      </c>
      <c r="L174" s="56">
        <v>28289.613529999999</v>
      </c>
      <c r="M174" s="56">
        <f t="shared" si="7"/>
        <v>7.0000000050640665E-4</v>
      </c>
      <c r="N174" s="56">
        <v>28289.612829999998</v>
      </c>
      <c r="O174" s="80">
        <f t="shared" si="5"/>
        <v>99.995096779894652</v>
      </c>
      <c r="P174" s="80">
        <f t="shared" si="6"/>
        <v>99.995096779894652</v>
      </c>
    </row>
    <row r="175" spans="1:19" ht="31.5">
      <c r="D175" s="186" t="s">
        <v>291</v>
      </c>
      <c r="F175" s="79" t="s">
        <v>360</v>
      </c>
      <c r="G175" s="56">
        <v>182770579</v>
      </c>
      <c r="H175" s="56">
        <v>222565658.5</v>
      </c>
      <c r="I175" s="56">
        <v>222567244.5</v>
      </c>
      <c r="J175" s="56">
        <v>222567244.5</v>
      </c>
      <c r="K175" s="56">
        <v>222567244.5</v>
      </c>
      <c r="L175" s="56">
        <v>222530950.6358</v>
      </c>
      <c r="M175" s="56">
        <f t="shared" si="7"/>
        <v>83499.986200004816</v>
      </c>
      <c r="N175" s="56">
        <v>222447450.6496</v>
      </c>
      <c r="O175" s="80">
        <f t="shared" si="5"/>
        <v>99.946176333957354</v>
      </c>
      <c r="P175" s="80">
        <f t="shared" si="6"/>
        <v>99.946176333957354</v>
      </c>
    </row>
    <row r="176" spans="1:19">
      <c r="E176" s="78" t="s">
        <v>261</v>
      </c>
      <c r="F176" s="79" t="s">
        <v>325</v>
      </c>
      <c r="G176" s="56">
        <v>0</v>
      </c>
      <c r="H176" s="56">
        <v>0</v>
      </c>
      <c r="I176" s="56">
        <v>209189604</v>
      </c>
      <c r="J176" s="56">
        <v>209189604</v>
      </c>
      <c r="K176" s="56">
        <v>209189604</v>
      </c>
      <c r="L176" s="56">
        <v>209153696.97839999</v>
      </c>
      <c r="M176" s="56">
        <f t="shared" si="7"/>
        <v>77156.62239998579</v>
      </c>
      <c r="N176" s="56">
        <v>209076540.35600001</v>
      </c>
      <c r="O176" s="80">
        <f t="shared" si="5"/>
        <v>99.945951595185392</v>
      </c>
      <c r="P176" s="80">
        <f t="shared" si="6"/>
        <v>99.945951595185392</v>
      </c>
    </row>
    <row r="177" spans="1:16">
      <c r="E177" s="78" t="s">
        <v>326</v>
      </c>
      <c r="F177" s="79" t="s">
        <v>327</v>
      </c>
      <c r="G177" s="56">
        <v>0</v>
      </c>
      <c r="H177" s="56">
        <v>0</v>
      </c>
      <c r="I177" s="56">
        <v>13377640.5</v>
      </c>
      <c r="J177" s="56">
        <v>13377640.5</v>
      </c>
      <c r="K177" s="56">
        <v>13377640.5</v>
      </c>
      <c r="L177" s="56">
        <v>13377253.657400001</v>
      </c>
      <c r="M177" s="56">
        <f t="shared" si="7"/>
        <v>6343.3638000003994</v>
      </c>
      <c r="N177" s="56">
        <v>13370910.2936</v>
      </c>
      <c r="O177" s="80">
        <f t="shared" si="5"/>
        <v>99.949690631916738</v>
      </c>
      <c r="P177" s="80">
        <f t="shared" si="6"/>
        <v>99.949690631916738</v>
      </c>
    </row>
    <row r="178" spans="1:16" ht="21">
      <c r="D178" s="186" t="s">
        <v>361</v>
      </c>
      <c r="F178" s="79" t="s">
        <v>362</v>
      </c>
      <c r="G178" s="56">
        <v>6997490</v>
      </c>
      <c r="H178" s="56">
        <v>8543776.1999999993</v>
      </c>
      <c r="I178" s="56">
        <v>8497111.1999999993</v>
      </c>
      <c r="J178" s="56">
        <v>8497111.1999999993</v>
      </c>
      <c r="K178" s="56">
        <v>8497111.1999999993</v>
      </c>
      <c r="L178" s="56">
        <v>8497100.9847999997</v>
      </c>
      <c r="M178" s="56">
        <f t="shared" si="7"/>
        <v>28115.537200000137</v>
      </c>
      <c r="N178" s="56">
        <v>8468985.4475999996</v>
      </c>
      <c r="O178" s="80">
        <f t="shared" si="5"/>
        <v>99.668996300766324</v>
      </c>
      <c r="P178" s="80">
        <f t="shared" si="6"/>
        <v>99.668996300766324</v>
      </c>
    </row>
    <row r="179" spans="1:16">
      <c r="E179" s="78" t="s">
        <v>261</v>
      </c>
      <c r="F179" s="79" t="s">
        <v>325</v>
      </c>
      <c r="G179" s="56">
        <v>0</v>
      </c>
      <c r="H179" s="56">
        <v>0</v>
      </c>
      <c r="I179" s="56">
        <v>4479000</v>
      </c>
      <c r="J179" s="56">
        <v>4479000</v>
      </c>
      <c r="K179" s="56">
        <v>4479000</v>
      </c>
      <c r="L179" s="56">
        <v>4478994.9987000003</v>
      </c>
      <c r="M179" s="56">
        <f t="shared" si="7"/>
        <v>4.5999000007286668</v>
      </c>
      <c r="N179" s="56">
        <v>4478990.3987999996</v>
      </c>
      <c r="O179" s="80">
        <f t="shared" ref="O179:O242" si="8">IF(J179=0,0,N179/J179*100)</f>
        <v>99.999785639651691</v>
      </c>
      <c r="P179" s="80">
        <f t="shared" ref="P179:P242" si="9">IF(I179=0,0,N179/I179*100)</f>
        <v>99.999785639651691</v>
      </c>
    </row>
    <row r="180" spans="1:16">
      <c r="E180" s="78" t="s">
        <v>326</v>
      </c>
      <c r="F180" s="79" t="s">
        <v>327</v>
      </c>
      <c r="G180" s="56">
        <v>0</v>
      </c>
      <c r="H180" s="56">
        <v>0</v>
      </c>
      <c r="I180" s="56">
        <v>4018111.2</v>
      </c>
      <c r="J180" s="56">
        <v>4018111.2</v>
      </c>
      <c r="K180" s="56">
        <v>4018111.2</v>
      </c>
      <c r="L180" s="56">
        <v>4018105.9860999999</v>
      </c>
      <c r="M180" s="56">
        <f t="shared" si="7"/>
        <v>28110.937299999874</v>
      </c>
      <c r="N180" s="56">
        <v>3989995.0488</v>
      </c>
      <c r="O180" s="80">
        <f t="shared" si="8"/>
        <v>99.300264482476237</v>
      </c>
      <c r="P180" s="80">
        <f t="shared" si="9"/>
        <v>99.300264482476237</v>
      </c>
    </row>
    <row r="181" spans="1:16" ht="22.5">
      <c r="A181" s="76"/>
      <c r="B181" s="76"/>
      <c r="C181" s="76" t="s">
        <v>328</v>
      </c>
      <c r="D181" s="76"/>
      <c r="E181" s="76"/>
      <c r="F181" s="87" t="s">
        <v>329</v>
      </c>
      <c r="G181" s="55">
        <v>31728120</v>
      </c>
      <c r="H181" s="55">
        <v>31317960.5</v>
      </c>
      <c r="I181" s="55">
        <v>31317960.5</v>
      </c>
      <c r="J181" s="55">
        <v>31317960.5</v>
      </c>
      <c r="K181" s="55">
        <v>31317960.5</v>
      </c>
      <c r="L181" s="55">
        <v>31317629.229899999</v>
      </c>
      <c r="M181" s="55">
        <f t="shared" si="7"/>
        <v>-22.187400002032518</v>
      </c>
      <c r="N181" s="55">
        <v>31317651.417300001</v>
      </c>
      <c r="O181" s="77">
        <f t="shared" si="8"/>
        <v>99.999013081646865</v>
      </c>
      <c r="P181" s="77">
        <f t="shared" si="9"/>
        <v>99.999013081646865</v>
      </c>
    </row>
    <row r="182" spans="1:16" ht="31.5">
      <c r="D182" s="186" t="s">
        <v>289</v>
      </c>
      <c r="F182" s="79" t="s">
        <v>354</v>
      </c>
      <c r="G182" s="56">
        <v>3108551</v>
      </c>
      <c r="H182" s="56">
        <v>3901967.7</v>
      </c>
      <c r="I182" s="56">
        <v>3901967.7</v>
      </c>
      <c r="J182" s="56">
        <v>3901967.7</v>
      </c>
      <c r="K182" s="56">
        <v>3901967.7</v>
      </c>
      <c r="L182" s="56">
        <v>3901967.6992000001</v>
      </c>
      <c r="M182" s="56">
        <f t="shared" si="7"/>
        <v>8.4000000264495611E-2</v>
      </c>
      <c r="N182" s="56">
        <v>3901967.6151999999</v>
      </c>
      <c r="O182" s="80">
        <f t="shared" si="8"/>
        <v>99.999997826737513</v>
      </c>
      <c r="P182" s="80">
        <f t="shared" si="9"/>
        <v>99.999997826737513</v>
      </c>
    </row>
    <row r="183" spans="1:16" ht="21">
      <c r="E183" s="78" t="s">
        <v>259</v>
      </c>
      <c r="F183" s="79" t="s">
        <v>355</v>
      </c>
      <c r="G183" s="56">
        <v>0</v>
      </c>
      <c r="H183" s="56">
        <v>0</v>
      </c>
      <c r="I183" s="56">
        <v>71930.2</v>
      </c>
      <c r="J183" s="56">
        <v>71930.2</v>
      </c>
      <c r="K183" s="56">
        <v>71930.2</v>
      </c>
      <c r="L183" s="56">
        <v>71930.199200000003</v>
      </c>
      <c r="M183" s="56">
        <f t="shared" si="7"/>
        <v>0</v>
      </c>
      <c r="N183" s="56">
        <v>71930.199200000003</v>
      </c>
      <c r="O183" s="80">
        <f t="shared" si="8"/>
        <v>99.99999888781069</v>
      </c>
      <c r="P183" s="80">
        <f t="shared" si="9"/>
        <v>99.99999888781069</v>
      </c>
    </row>
    <row r="184" spans="1:16" ht="31.5">
      <c r="E184" s="78" t="s">
        <v>269</v>
      </c>
      <c r="F184" s="79" t="s">
        <v>354</v>
      </c>
      <c r="G184" s="56">
        <v>0</v>
      </c>
      <c r="H184" s="56">
        <v>0</v>
      </c>
      <c r="I184" s="56">
        <v>3830037.5</v>
      </c>
      <c r="J184" s="56">
        <v>3830037.5</v>
      </c>
      <c r="K184" s="56">
        <v>3830037.5</v>
      </c>
      <c r="L184" s="56">
        <v>3830037.5</v>
      </c>
      <c r="M184" s="56">
        <f t="shared" si="7"/>
        <v>8.3999999798834324E-2</v>
      </c>
      <c r="N184" s="56">
        <v>3830037.4160000002</v>
      </c>
      <c r="O184" s="80">
        <f t="shared" si="8"/>
        <v>99.999997806809986</v>
      </c>
      <c r="P184" s="80">
        <f t="shared" si="9"/>
        <v>99.999997806809986</v>
      </c>
    </row>
    <row r="185" spans="1:16" ht="21">
      <c r="D185" s="186" t="s">
        <v>358</v>
      </c>
      <c r="F185" s="79" t="s">
        <v>359</v>
      </c>
      <c r="G185" s="56">
        <v>662564</v>
      </c>
      <c r="H185" s="56">
        <v>620791</v>
      </c>
      <c r="I185" s="56">
        <v>620791</v>
      </c>
      <c r="J185" s="56">
        <v>620791</v>
      </c>
      <c r="K185" s="56">
        <v>620791</v>
      </c>
      <c r="L185" s="56">
        <v>620462.63280000002</v>
      </c>
      <c r="M185" s="56">
        <f t="shared" si="7"/>
        <v>-22.271399999968708</v>
      </c>
      <c r="N185" s="56">
        <v>620484.90419999999</v>
      </c>
      <c r="O185" s="80">
        <f t="shared" si="8"/>
        <v>99.950692616355582</v>
      </c>
      <c r="P185" s="80">
        <f t="shared" si="9"/>
        <v>99.950692616355582</v>
      </c>
    </row>
    <row r="186" spans="1:16">
      <c r="E186" s="78" t="s">
        <v>261</v>
      </c>
      <c r="F186" s="79" t="s">
        <v>325</v>
      </c>
      <c r="G186" s="56">
        <v>0</v>
      </c>
      <c r="H186" s="56">
        <v>0</v>
      </c>
      <c r="I186" s="56">
        <v>620791</v>
      </c>
      <c r="J186" s="56">
        <v>620791</v>
      </c>
      <c r="K186" s="56">
        <v>620791</v>
      </c>
      <c r="L186" s="56">
        <v>620462.63275999995</v>
      </c>
      <c r="M186" s="56">
        <f t="shared" si="7"/>
        <v>-22.271400000085123</v>
      </c>
      <c r="N186" s="56">
        <v>620484.90416000003</v>
      </c>
      <c r="O186" s="80">
        <f t="shared" si="8"/>
        <v>99.950692609912196</v>
      </c>
      <c r="P186" s="80">
        <f t="shared" si="9"/>
        <v>99.950692609912196</v>
      </c>
    </row>
    <row r="187" spans="1:16" ht="31.5">
      <c r="D187" s="186" t="s">
        <v>291</v>
      </c>
      <c r="F187" s="79" t="s">
        <v>360</v>
      </c>
      <c r="G187" s="56">
        <v>26206587</v>
      </c>
      <c r="H187" s="56">
        <v>25138166.399999999</v>
      </c>
      <c r="I187" s="56">
        <v>25138166.399999999</v>
      </c>
      <c r="J187" s="56">
        <v>25138166.399999999</v>
      </c>
      <c r="K187" s="56">
        <v>25138166.399999999</v>
      </c>
      <c r="L187" s="56">
        <v>25138163.8281</v>
      </c>
      <c r="M187" s="56">
        <f t="shared" si="7"/>
        <v>0</v>
      </c>
      <c r="N187" s="56">
        <v>25138163.8281</v>
      </c>
      <c r="O187" s="80">
        <f t="shared" si="8"/>
        <v>99.999989768943536</v>
      </c>
      <c r="P187" s="80">
        <f t="shared" si="9"/>
        <v>99.999989768943536</v>
      </c>
    </row>
    <row r="188" spans="1:16">
      <c r="E188" s="78" t="s">
        <v>261</v>
      </c>
      <c r="F188" s="79" t="s">
        <v>325</v>
      </c>
      <c r="G188" s="56">
        <v>0</v>
      </c>
      <c r="H188" s="56">
        <v>0</v>
      </c>
      <c r="I188" s="56">
        <v>24470789</v>
      </c>
      <c r="J188" s="56">
        <v>24470789</v>
      </c>
      <c r="K188" s="56">
        <v>24470789</v>
      </c>
      <c r="L188" s="56">
        <v>24470786.428089999</v>
      </c>
      <c r="M188" s="56">
        <f t="shared" si="7"/>
        <v>0</v>
      </c>
      <c r="N188" s="56">
        <v>24470786.428089999</v>
      </c>
      <c r="O188" s="80">
        <f t="shared" si="8"/>
        <v>99.99998948987708</v>
      </c>
      <c r="P188" s="80">
        <f t="shared" si="9"/>
        <v>99.99998948987708</v>
      </c>
    </row>
    <row r="189" spans="1:16">
      <c r="E189" s="78" t="s">
        <v>326</v>
      </c>
      <c r="F189" s="79" t="s">
        <v>327</v>
      </c>
      <c r="G189" s="56">
        <v>0</v>
      </c>
      <c r="H189" s="56">
        <v>0</v>
      </c>
      <c r="I189" s="56">
        <v>667377.4</v>
      </c>
      <c r="J189" s="56">
        <v>667377.4</v>
      </c>
      <c r="K189" s="56">
        <v>667377.4</v>
      </c>
      <c r="L189" s="56">
        <v>667377.4</v>
      </c>
      <c r="M189" s="56">
        <f t="shared" si="7"/>
        <v>0</v>
      </c>
      <c r="N189" s="56">
        <v>667377.4</v>
      </c>
      <c r="O189" s="80">
        <f t="shared" si="8"/>
        <v>100</v>
      </c>
      <c r="P189" s="80">
        <f t="shared" si="9"/>
        <v>100</v>
      </c>
    </row>
    <row r="190" spans="1:16" ht="21">
      <c r="D190" s="186" t="s">
        <v>361</v>
      </c>
      <c r="F190" s="79" t="s">
        <v>362</v>
      </c>
      <c r="G190" s="56">
        <v>1750418</v>
      </c>
      <c r="H190" s="56">
        <v>1657035.4</v>
      </c>
      <c r="I190" s="56">
        <v>1657035.4</v>
      </c>
      <c r="J190" s="56">
        <v>1657035.4</v>
      </c>
      <c r="K190" s="56">
        <v>1657035.4</v>
      </c>
      <c r="L190" s="56">
        <v>1657035.0699</v>
      </c>
      <c r="M190" s="56">
        <f t="shared" si="7"/>
        <v>0</v>
      </c>
      <c r="N190" s="56">
        <v>1657035.0699</v>
      </c>
      <c r="O190" s="80">
        <f t="shared" si="8"/>
        <v>99.99998007888064</v>
      </c>
      <c r="P190" s="80">
        <f t="shared" si="9"/>
        <v>99.99998007888064</v>
      </c>
    </row>
    <row r="191" spans="1:16">
      <c r="E191" s="78" t="s">
        <v>261</v>
      </c>
      <c r="F191" s="79" t="s">
        <v>325</v>
      </c>
      <c r="G191" s="56">
        <v>0</v>
      </c>
      <c r="H191" s="56">
        <v>0</v>
      </c>
      <c r="I191" s="56">
        <v>828465</v>
      </c>
      <c r="J191" s="56">
        <v>828465</v>
      </c>
      <c r="K191" s="56">
        <v>828465</v>
      </c>
      <c r="L191" s="56">
        <v>828465</v>
      </c>
      <c r="M191" s="56">
        <f t="shared" si="7"/>
        <v>0</v>
      </c>
      <c r="N191" s="56">
        <v>828465</v>
      </c>
      <c r="O191" s="80">
        <f t="shared" si="8"/>
        <v>100</v>
      </c>
      <c r="P191" s="80">
        <f t="shared" si="9"/>
        <v>100</v>
      </c>
    </row>
    <row r="192" spans="1:16">
      <c r="E192" s="78" t="s">
        <v>326</v>
      </c>
      <c r="F192" s="79" t="s">
        <v>327</v>
      </c>
      <c r="G192" s="56">
        <v>0</v>
      </c>
      <c r="H192" s="56">
        <v>0</v>
      </c>
      <c r="I192" s="56">
        <v>828570.4</v>
      </c>
      <c r="J192" s="56">
        <v>828570.4</v>
      </c>
      <c r="K192" s="56">
        <v>828570.4</v>
      </c>
      <c r="L192" s="56">
        <v>828570.06987000001</v>
      </c>
      <c r="M192" s="56">
        <f t="shared" si="7"/>
        <v>0</v>
      </c>
      <c r="N192" s="56">
        <v>828570.06987000001</v>
      </c>
      <c r="O192" s="80">
        <f t="shared" si="8"/>
        <v>99.999960156674675</v>
      </c>
      <c r="P192" s="80">
        <f t="shared" si="9"/>
        <v>99.999960156674675</v>
      </c>
    </row>
    <row r="193" spans="1:16">
      <c r="A193" s="74"/>
      <c r="B193" s="74" t="s">
        <v>363</v>
      </c>
      <c r="C193" s="74"/>
      <c r="D193" s="74"/>
      <c r="E193" s="74"/>
      <c r="F193" s="52" t="s">
        <v>364</v>
      </c>
      <c r="G193" s="53">
        <v>23518720</v>
      </c>
      <c r="H193" s="53">
        <v>23648819.100000001</v>
      </c>
      <c r="I193" s="53">
        <v>23645026.100000001</v>
      </c>
      <c r="J193" s="53">
        <v>23645026.100000001</v>
      </c>
      <c r="K193" s="53">
        <v>23645026.100000001</v>
      </c>
      <c r="L193" s="53">
        <v>23641536.906599998</v>
      </c>
      <c r="M193" s="53">
        <f t="shared" si="7"/>
        <v>8288.7203000001609</v>
      </c>
      <c r="N193" s="53">
        <v>23633248.186299998</v>
      </c>
      <c r="O193" s="75">
        <f t="shared" si="8"/>
        <v>99.950188620430396</v>
      </c>
      <c r="P193" s="75">
        <f t="shared" si="9"/>
        <v>99.950188620430396</v>
      </c>
    </row>
    <row r="194" spans="1:16">
      <c r="A194" s="76"/>
      <c r="B194" s="76"/>
      <c r="C194" s="76" t="s">
        <v>322</v>
      </c>
      <c r="D194" s="76"/>
      <c r="E194" s="76"/>
      <c r="F194" s="103" t="s">
        <v>323</v>
      </c>
      <c r="G194" s="55">
        <v>15763931</v>
      </c>
      <c r="H194" s="55">
        <v>15653810</v>
      </c>
      <c r="I194" s="55">
        <v>15650017</v>
      </c>
      <c r="J194" s="55">
        <v>15650017</v>
      </c>
      <c r="K194" s="55">
        <v>15650017</v>
      </c>
      <c r="L194" s="55">
        <v>15647682.782199999</v>
      </c>
      <c r="M194" s="55">
        <f t="shared" si="7"/>
        <v>8288.3876999989152</v>
      </c>
      <c r="N194" s="55">
        <v>15639394.3945</v>
      </c>
      <c r="O194" s="77">
        <f t="shared" si="8"/>
        <v>99.932124000248692</v>
      </c>
      <c r="P194" s="77">
        <f t="shared" si="9"/>
        <v>99.932124000248692</v>
      </c>
    </row>
    <row r="195" spans="1:16" ht="31.5">
      <c r="D195" s="186" t="s">
        <v>261</v>
      </c>
      <c r="F195" s="79" t="s">
        <v>365</v>
      </c>
      <c r="G195" s="56">
        <v>15163418</v>
      </c>
      <c r="H195" s="56">
        <v>15093342.5</v>
      </c>
      <c r="I195" s="56">
        <v>15090431.5</v>
      </c>
      <c r="J195" s="56">
        <v>15090431.5</v>
      </c>
      <c r="K195" s="56">
        <v>15090431.5</v>
      </c>
      <c r="L195" s="56">
        <v>15090424.6109</v>
      </c>
      <c r="M195" s="56">
        <f t="shared" si="7"/>
        <v>7185.579299999401</v>
      </c>
      <c r="N195" s="56">
        <v>15083239.0316</v>
      </c>
      <c r="O195" s="80">
        <f t="shared" si="8"/>
        <v>99.952337556417788</v>
      </c>
      <c r="P195" s="80">
        <f t="shared" si="9"/>
        <v>99.952337556417788</v>
      </c>
    </row>
    <row r="196" spans="1:16">
      <c r="E196" s="78" t="s">
        <v>261</v>
      </c>
      <c r="F196" s="79" t="s">
        <v>325</v>
      </c>
      <c r="G196" s="56">
        <v>0</v>
      </c>
      <c r="H196" s="56">
        <v>0</v>
      </c>
      <c r="I196" s="56">
        <v>386876</v>
      </c>
      <c r="J196" s="56">
        <v>386876</v>
      </c>
      <c r="K196" s="56">
        <v>386876</v>
      </c>
      <c r="L196" s="56">
        <v>386872.39585999999</v>
      </c>
      <c r="M196" s="56">
        <f t="shared" si="7"/>
        <v>1.0089999996125698E-2</v>
      </c>
      <c r="N196" s="56">
        <v>386872.38576999999</v>
      </c>
      <c r="O196" s="80">
        <f t="shared" si="8"/>
        <v>99.99906579110619</v>
      </c>
      <c r="P196" s="80">
        <f t="shared" si="9"/>
        <v>99.99906579110619</v>
      </c>
    </row>
    <row r="197" spans="1:16">
      <c r="E197" s="78" t="s">
        <v>326</v>
      </c>
      <c r="F197" s="79" t="s">
        <v>327</v>
      </c>
      <c r="G197" s="56">
        <v>0</v>
      </c>
      <c r="H197" s="56">
        <v>0</v>
      </c>
      <c r="I197" s="56">
        <v>14703555.5</v>
      </c>
      <c r="J197" s="56">
        <v>14703555.5</v>
      </c>
      <c r="K197" s="56">
        <v>14703555.5</v>
      </c>
      <c r="L197" s="56">
        <v>14703552.21507</v>
      </c>
      <c r="M197" s="56">
        <f t="shared" si="7"/>
        <v>7185.5692599993199</v>
      </c>
      <c r="N197" s="56">
        <v>14696366.645810001</v>
      </c>
      <c r="O197" s="80">
        <f t="shared" si="8"/>
        <v>99.951108055531208</v>
      </c>
      <c r="P197" s="80">
        <f t="shared" si="9"/>
        <v>99.951108055531208</v>
      </c>
    </row>
    <row r="198" spans="1:16">
      <c r="D198" s="186" t="s">
        <v>366</v>
      </c>
      <c r="F198" s="79" t="s">
        <v>367</v>
      </c>
      <c r="G198" s="56">
        <v>600513</v>
      </c>
      <c r="H198" s="56">
        <v>560467.5</v>
      </c>
      <c r="I198" s="56">
        <v>559585.5</v>
      </c>
      <c r="J198" s="56">
        <v>559585.5</v>
      </c>
      <c r="K198" s="56">
        <v>559585.5</v>
      </c>
      <c r="L198" s="56">
        <v>557258.17130000005</v>
      </c>
      <c r="M198" s="56">
        <f t="shared" si="7"/>
        <v>1102.8084000000963</v>
      </c>
      <c r="N198" s="56">
        <v>556155.36289999995</v>
      </c>
      <c r="O198" s="80">
        <f t="shared" si="8"/>
        <v>99.387021804532097</v>
      </c>
      <c r="P198" s="80">
        <f t="shared" si="9"/>
        <v>99.387021804532097</v>
      </c>
    </row>
    <row r="199" spans="1:16">
      <c r="E199" s="78" t="s">
        <v>261</v>
      </c>
      <c r="F199" s="79" t="s">
        <v>325</v>
      </c>
      <c r="G199" s="56">
        <v>0</v>
      </c>
      <c r="H199" s="56">
        <v>0</v>
      </c>
      <c r="I199" s="56">
        <v>25452.9</v>
      </c>
      <c r="J199" s="56">
        <v>25452.9</v>
      </c>
      <c r="K199" s="56">
        <v>25452.9</v>
      </c>
      <c r="L199" s="56">
        <v>24713.599699999999</v>
      </c>
      <c r="M199" s="56">
        <f t="shared" si="7"/>
        <v>0</v>
      </c>
      <c r="N199" s="56">
        <v>24713.599699999999</v>
      </c>
      <c r="O199" s="80">
        <f t="shared" si="8"/>
        <v>97.095418203819591</v>
      </c>
      <c r="P199" s="80">
        <f t="shared" si="9"/>
        <v>97.095418203819591</v>
      </c>
    </row>
    <row r="200" spans="1:16">
      <c r="E200" s="78" t="s">
        <v>326</v>
      </c>
      <c r="F200" s="79" t="s">
        <v>327</v>
      </c>
      <c r="G200" s="56">
        <v>0</v>
      </c>
      <c r="H200" s="56">
        <v>0</v>
      </c>
      <c r="I200" s="56">
        <v>534132.6</v>
      </c>
      <c r="J200" s="56">
        <v>534132.6</v>
      </c>
      <c r="K200" s="56">
        <v>534132.6</v>
      </c>
      <c r="L200" s="56">
        <v>532544.57160000002</v>
      </c>
      <c r="M200" s="56">
        <f t="shared" si="7"/>
        <v>1102.8083999999799</v>
      </c>
      <c r="N200" s="56">
        <v>531441.76320000004</v>
      </c>
      <c r="O200" s="80">
        <f t="shared" si="8"/>
        <v>99.496223072697688</v>
      </c>
      <c r="P200" s="80">
        <f t="shared" si="9"/>
        <v>99.496223072697688</v>
      </c>
    </row>
    <row r="201" spans="1:16" ht="22.5">
      <c r="A201" s="76"/>
      <c r="B201" s="76"/>
      <c r="C201" s="76" t="s">
        <v>328</v>
      </c>
      <c r="D201" s="76"/>
      <c r="E201" s="76"/>
      <c r="F201" s="87" t="s">
        <v>329</v>
      </c>
      <c r="G201" s="55">
        <v>7754789</v>
      </c>
      <c r="H201" s="55">
        <v>7995009.0999999996</v>
      </c>
      <c r="I201" s="55">
        <v>7995009.0999999996</v>
      </c>
      <c r="J201" s="55">
        <v>7995009.0999999996</v>
      </c>
      <c r="K201" s="55">
        <v>7995009.0999999996</v>
      </c>
      <c r="L201" s="55">
        <v>7993854.1244000001</v>
      </c>
      <c r="M201" s="55">
        <f t="shared" si="7"/>
        <v>0.3326000003144145</v>
      </c>
      <c r="N201" s="55">
        <v>7993853.7917999998</v>
      </c>
      <c r="O201" s="77">
        <f t="shared" si="8"/>
        <v>99.985549632457577</v>
      </c>
      <c r="P201" s="77">
        <f t="shared" si="9"/>
        <v>99.985549632457577</v>
      </c>
    </row>
    <row r="202" spans="1:16" ht="21">
      <c r="D202" s="186" t="s">
        <v>261</v>
      </c>
      <c r="F202" s="79" t="s">
        <v>368</v>
      </c>
      <c r="G202" s="56">
        <v>7653395</v>
      </c>
      <c r="H202" s="56">
        <v>7898270.0999999996</v>
      </c>
      <c r="I202" s="56">
        <v>7898270.0999999996</v>
      </c>
      <c r="J202" s="56">
        <v>7898270.0999999996</v>
      </c>
      <c r="K202" s="56">
        <v>7898270.0999999996</v>
      </c>
      <c r="L202" s="56">
        <v>7898268.7635000004</v>
      </c>
      <c r="M202" s="56">
        <f t="shared" si="7"/>
        <v>0</v>
      </c>
      <c r="N202" s="56">
        <v>7898268.7635000004</v>
      </c>
      <c r="O202" s="80">
        <f t="shared" si="8"/>
        <v>99.999983078573123</v>
      </c>
      <c r="P202" s="80">
        <f t="shared" si="9"/>
        <v>99.999983078573123</v>
      </c>
    </row>
    <row r="203" spans="1:16">
      <c r="E203" s="78" t="s">
        <v>261</v>
      </c>
      <c r="F203" s="79" t="s">
        <v>325</v>
      </c>
      <c r="G203" s="56">
        <v>0</v>
      </c>
      <c r="H203" s="56">
        <v>0</v>
      </c>
      <c r="I203" s="56">
        <v>153773</v>
      </c>
      <c r="J203" s="56">
        <v>153773</v>
      </c>
      <c r="K203" s="56">
        <v>153773</v>
      </c>
      <c r="L203" s="56">
        <v>153773</v>
      </c>
      <c r="M203" s="56">
        <f t="shared" si="7"/>
        <v>0</v>
      </c>
      <c r="N203" s="56">
        <v>153773</v>
      </c>
      <c r="O203" s="80">
        <f t="shared" si="8"/>
        <v>100</v>
      </c>
      <c r="P203" s="80">
        <f t="shared" si="9"/>
        <v>100</v>
      </c>
    </row>
    <row r="204" spans="1:16">
      <c r="E204" s="78" t="s">
        <v>326</v>
      </c>
      <c r="F204" s="79" t="s">
        <v>327</v>
      </c>
      <c r="G204" s="56">
        <v>0</v>
      </c>
      <c r="H204" s="56">
        <v>0</v>
      </c>
      <c r="I204" s="56">
        <v>7744497.0999999996</v>
      </c>
      <c r="J204" s="56">
        <v>7744497.0999999996</v>
      </c>
      <c r="K204" s="56">
        <v>7744497.0999999996</v>
      </c>
      <c r="L204" s="56">
        <v>7744495.7635000004</v>
      </c>
      <c r="M204" s="56">
        <f t="shared" si="7"/>
        <v>0</v>
      </c>
      <c r="N204" s="56">
        <v>7744495.7635000004</v>
      </c>
      <c r="O204" s="80">
        <f t="shared" si="8"/>
        <v>99.999982742585061</v>
      </c>
      <c r="P204" s="80">
        <f t="shared" si="9"/>
        <v>99.999982742585061</v>
      </c>
    </row>
    <row r="205" spans="1:16">
      <c r="D205" s="186" t="s">
        <v>366</v>
      </c>
      <c r="F205" s="79" t="s">
        <v>369</v>
      </c>
      <c r="G205" s="56">
        <v>101394</v>
      </c>
      <c r="H205" s="56">
        <v>96739</v>
      </c>
      <c r="I205" s="56">
        <v>96739</v>
      </c>
      <c r="J205" s="56">
        <v>96739</v>
      </c>
      <c r="K205" s="56">
        <v>96739</v>
      </c>
      <c r="L205" s="56">
        <v>95585.360799999995</v>
      </c>
      <c r="M205" s="56">
        <f t="shared" si="7"/>
        <v>0.33249999998952262</v>
      </c>
      <c r="N205" s="56">
        <v>95585.028300000005</v>
      </c>
      <c r="O205" s="80">
        <f t="shared" si="8"/>
        <v>98.807128769162389</v>
      </c>
      <c r="P205" s="80">
        <f t="shared" si="9"/>
        <v>98.807128769162389</v>
      </c>
    </row>
    <row r="206" spans="1:16">
      <c r="E206" s="78" t="s">
        <v>261</v>
      </c>
      <c r="F206" s="79" t="s">
        <v>325</v>
      </c>
      <c r="G206" s="56">
        <v>0</v>
      </c>
      <c r="H206" s="56">
        <v>0</v>
      </c>
      <c r="I206" s="56">
        <v>3168</v>
      </c>
      <c r="J206" s="56">
        <v>3168</v>
      </c>
      <c r="K206" s="56">
        <v>3168</v>
      </c>
      <c r="L206" s="56">
        <v>3168</v>
      </c>
      <c r="M206" s="56">
        <f t="shared" ref="M206:M213" si="10">L206-N206</f>
        <v>0</v>
      </c>
      <c r="N206" s="56">
        <v>3168</v>
      </c>
      <c r="O206" s="80">
        <f t="shared" si="8"/>
        <v>100</v>
      </c>
      <c r="P206" s="80">
        <f t="shared" si="9"/>
        <v>100</v>
      </c>
    </row>
    <row r="207" spans="1:16">
      <c r="E207" s="78" t="s">
        <v>326</v>
      </c>
      <c r="F207" s="79" t="s">
        <v>327</v>
      </c>
      <c r="G207" s="56">
        <v>0</v>
      </c>
      <c r="H207" s="56">
        <v>0</v>
      </c>
      <c r="I207" s="56">
        <v>93571</v>
      </c>
      <c r="J207" s="56">
        <v>93571</v>
      </c>
      <c r="K207" s="56">
        <v>93571</v>
      </c>
      <c r="L207" s="56">
        <v>92417.360799999995</v>
      </c>
      <c r="M207" s="56">
        <f t="shared" si="10"/>
        <v>0.33249999998952262</v>
      </c>
      <c r="N207" s="56">
        <v>92417.028300000005</v>
      </c>
      <c r="O207" s="80">
        <f t="shared" si="8"/>
        <v>98.766742153017503</v>
      </c>
      <c r="P207" s="80">
        <f t="shared" si="9"/>
        <v>98.766742153017503</v>
      </c>
    </row>
    <row r="208" spans="1:16">
      <c r="A208" s="74"/>
      <c r="B208" s="74" t="s">
        <v>287</v>
      </c>
      <c r="C208" s="74"/>
      <c r="D208" s="74"/>
      <c r="E208" s="74"/>
      <c r="F208" s="52" t="s">
        <v>288</v>
      </c>
      <c r="G208" s="53">
        <v>123027210</v>
      </c>
      <c r="H208" s="53">
        <v>109547658.40000001</v>
      </c>
      <c r="I208" s="53">
        <v>111074976.40000001</v>
      </c>
      <c r="J208" s="53">
        <v>111074976.40000001</v>
      </c>
      <c r="K208" s="53">
        <v>111074976.40000001</v>
      </c>
      <c r="L208" s="53">
        <v>108648729.9712</v>
      </c>
      <c r="M208" s="53">
        <f t="shared" si="10"/>
        <v>806770.14090000093</v>
      </c>
      <c r="N208" s="53">
        <v>107841959.8303</v>
      </c>
      <c r="O208" s="75">
        <f t="shared" si="8"/>
        <v>97.089338504059313</v>
      </c>
      <c r="P208" s="75">
        <f t="shared" si="9"/>
        <v>97.089338504059313</v>
      </c>
    </row>
    <row r="209" spans="1:16" ht="22.5">
      <c r="A209" s="76"/>
      <c r="B209" s="76"/>
      <c r="C209" s="76" t="s">
        <v>370</v>
      </c>
      <c r="D209" s="76"/>
      <c r="E209" s="76"/>
      <c r="F209" s="94" t="s">
        <v>371</v>
      </c>
      <c r="G209" s="55">
        <v>7836</v>
      </c>
      <c r="H209" s="55">
        <v>6115</v>
      </c>
      <c r="I209" s="55">
        <v>6115</v>
      </c>
      <c r="J209" s="55">
        <v>6115</v>
      </c>
      <c r="K209" s="55">
        <v>6115</v>
      </c>
      <c r="L209" s="55">
        <v>4284.4129000000003</v>
      </c>
      <c r="M209" s="55">
        <f t="shared" si="10"/>
        <v>0</v>
      </c>
      <c r="N209" s="55">
        <v>4284.4129000000003</v>
      </c>
      <c r="O209" s="77">
        <f t="shared" si="8"/>
        <v>70.063988552739161</v>
      </c>
      <c r="P209" s="77">
        <f t="shared" si="9"/>
        <v>70.063988552739161</v>
      </c>
    </row>
    <row r="210" spans="1:16" ht="21">
      <c r="D210" s="186" t="s">
        <v>372</v>
      </c>
      <c r="F210" s="79" t="s">
        <v>373</v>
      </c>
      <c r="G210" s="56">
        <v>7836</v>
      </c>
      <c r="H210" s="56">
        <v>6115</v>
      </c>
      <c r="I210" s="56">
        <v>6115</v>
      </c>
      <c r="J210" s="56">
        <v>6115</v>
      </c>
      <c r="K210" s="56">
        <v>6115</v>
      </c>
      <c r="L210" s="56">
        <v>4284.4129000000003</v>
      </c>
      <c r="M210" s="56">
        <f t="shared" si="10"/>
        <v>0</v>
      </c>
      <c r="N210" s="56">
        <v>4284.4129000000003</v>
      </c>
      <c r="O210" s="80">
        <f t="shared" si="8"/>
        <v>70.063988552739161</v>
      </c>
      <c r="P210" s="80">
        <f t="shared" si="9"/>
        <v>70.063988552739161</v>
      </c>
    </row>
    <row r="211" spans="1:16">
      <c r="E211" s="78" t="s">
        <v>326</v>
      </c>
      <c r="F211" s="79" t="s">
        <v>327</v>
      </c>
      <c r="G211" s="56">
        <v>0</v>
      </c>
      <c r="H211" s="56">
        <v>0</v>
      </c>
      <c r="I211" s="56">
        <v>6115</v>
      </c>
      <c r="J211" s="56">
        <v>6115</v>
      </c>
      <c r="K211" s="56">
        <v>6115</v>
      </c>
      <c r="L211" s="56">
        <v>4284.4129000000003</v>
      </c>
      <c r="M211" s="56">
        <f t="shared" si="10"/>
        <v>0</v>
      </c>
      <c r="N211" s="56">
        <v>4284.4129000000003</v>
      </c>
      <c r="O211" s="80">
        <f t="shared" si="8"/>
        <v>70.063988552739161</v>
      </c>
      <c r="P211" s="80">
        <f t="shared" si="9"/>
        <v>70.063988552739161</v>
      </c>
    </row>
    <row r="212" spans="1:16">
      <c r="A212" s="76"/>
      <c r="B212" s="76"/>
      <c r="C212" s="76" t="s">
        <v>245</v>
      </c>
      <c r="D212" s="76"/>
      <c r="E212" s="76"/>
      <c r="F212" s="104" t="s">
        <v>0</v>
      </c>
      <c r="G212" s="55">
        <v>5116875</v>
      </c>
      <c r="H212" s="55">
        <v>4151725</v>
      </c>
      <c r="I212" s="55">
        <v>4151725</v>
      </c>
      <c r="J212" s="55">
        <v>4151725</v>
      </c>
      <c r="K212" s="55">
        <v>4151725</v>
      </c>
      <c r="L212" s="55">
        <v>4151633.4237000002</v>
      </c>
      <c r="M212" s="55">
        <f t="shared" si="10"/>
        <v>19.012899999972433</v>
      </c>
      <c r="N212" s="55">
        <v>4151614.4108000002</v>
      </c>
      <c r="O212" s="77">
        <f t="shared" si="8"/>
        <v>99.997336307197614</v>
      </c>
      <c r="P212" s="77">
        <f t="shared" si="9"/>
        <v>99.997336307197614</v>
      </c>
    </row>
    <row r="213" spans="1:16" ht="31.5">
      <c r="D213" s="186" t="s">
        <v>289</v>
      </c>
      <c r="F213" s="79" t="s">
        <v>290</v>
      </c>
      <c r="G213" s="56">
        <v>4521655</v>
      </c>
      <c r="H213" s="56">
        <v>4151725</v>
      </c>
      <c r="I213" s="56">
        <v>4151725</v>
      </c>
      <c r="J213" s="56">
        <v>4151725</v>
      </c>
      <c r="K213" s="56">
        <v>4151725</v>
      </c>
      <c r="L213" s="56">
        <v>4151633.4237000002</v>
      </c>
      <c r="M213" s="56">
        <f t="shared" si="10"/>
        <v>19.012899999972433</v>
      </c>
      <c r="N213" s="56">
        <v>4151614.4108000002</v>
      </c>
      <c r="O213" s="80">
        <f t="shared" si="8"/>
        <v>99.997336307197614</v>
      </c>
      <c r="P213" s="80">
        <f t="shared" si="9"/>
        <v>99.997336307197614</v>
      </c>
    </row>
    <row r="214" spans="1:16" ht="21">
      <c r="D214" s="186" t="s">
        <v>293</v>
      </c>
      <c r="F214" s="79" t="s">
        <v>294</v>
      </c>
      <c r="G214" s="56">
        <v>595220</v>
      </c>
      <c r="H214" s="56">
        <v>0</v>
      </c>
      <c r="I214" s="56">
        <v>0</v>
      </c>
      <c r="J214" s="56">
        <v>0</v>
      </c>
      <c r="K214" s="56"/>
      <c r="L214" s="56"/>
      <c r="M214" s="56"/>
      <c r="N214" s="56">
        <v>0</v>
      </c>
      <c r="O214" s="80">
        <f t="shared" si="8"/>
        <v>0</v>
      </c>
      <c r="P214" s="80">
        <f t="shared" si="9"/>
        <v>0</v>
      </c>
    </row>
    <row r="215" spans="1:16" ht="22.5">
      <c r="A215" s="76"/>
      <c r="B215" s="76"/>
      <c r="C215" s="76" t="s">
        <v>251</v>
      </c>
      <c r="D215" s="76"/>
      <c r="E215" s="76"/>
      <c r="F215" s="100" t="s">
        <v>252</v>
      </c>
      <c r="G215" s="55">
        <v>26239033</v>
      </c>
      <c r="H215" s="55">
        <v>21026688</v>
      </c>
      <c r="I215" s="55">
        <v>21026688</v>
      </c>
      <c r="J215" s="55">
        <v>21026688</v>
      </c>
      <c r="K215" s="55">
        <v>21026688</v>
      </c>
      <c r="L215" s="55">
        <v>20569871.403099999</v>
      </c>
      <c r="M215" s="55">
        <f>L215-N215</f>
        <v>613.5054999999702</v>
      </c>
      <c r="N215" s="55">
        <v>20569257.897599999</v>
      </c>
      <c r="O215" s="77">
        <f t="shared" si="8"/>
        <v>97.824526133645008</v>
      </c>
      <c r="P215" s="77">
        <f t="shared" si="9"/>
        <v>97.824526133645008</v>
      </c>
    </row>
    <row r="216" spans="1:16">
      <c r="D216" s="186" t="s">
        <v>297</v>
      </c>
      <c r="F216" s="101" t="s">
        <v>93</v>
      </c>
      <c r="G216" s="56">
        <v>989738</v>
      </c>
      <c r="H216" s="56">
        <v>981169</v>
      </c>
      <c r="I216" s="56">
        <v>981169</v>
      </c>
      <c r="J216" s="56">
        <v>981169</v>
      </c>
      <c r="K216" s="56">
        <v>981169</v>
      </c>
      <c r="L216" s="56">
        <v>981169</v>
      </c>
      <c r="M216" s="56">
        <f>L216-N216</f>
        <v>0</v>
      </c>
      <c r="N216" s="83">
        <v>981169</v>
      </c>
      <c r="O216" s="80">
        <f t="shared" si="8"/>
        <v>100</v>
      </c>
      <c r="P216" s="80">
        <f t="shared" si="9"/>
        <v>100</v>
      </c>
    </row>
    <row r="217" spans="1:16" ht="21">
      <c r="D217" s="186" t="s">
        <v>299</v>
      </c>
      <c r="F217" s="101" t="s">
        <v>300</v>
      </c>
      <c r="G217" s="56">
        <v>2346222</v>
      </c>
      <c r="H217" s="56">
        <v>2447965</v>
      </c>
      <c r="I217" s="56">
        <v>2447965</v>
      </c>
      <c r="J217" s="56">
        <v>2447965</v>
      </c>
      <c r="K217" s="56">
        <v>2447965</v>
      </c>
      <c r="L217" s="56">
        <v>2445861.5419999999</v>
      </c>
      <c r="M217" s="56">
        <f>L217-N217</f>
        <v>0</v>
      </c>
      <c r="N217" s="83">
        <v>2445861.5419999999</v>
      </c>
      <c r="O217" s="80">
        <f t="shared" si="8"/>
        <v>99.914073199575967</v>
      </c>
      <c r="P217" s="80">
        <f t="shared" si="9"/>
        <v>99.914073199575967</v>
      </c>
    </row>
    <row r="218" spans="1:16">
      <c r="D218" s="186" t="s">
        <v>301</v>
      </c>
      <c r="F218" s="101" t="s">
        <v>292</v>
      </c>
      <c r="G218" s="56">
        <v>227025</v>
      </c>
      <c r="H218" s="56">
        <v>0</v>
      </c>
      <c r="I218" s="56">
        <v>0</v>
      </c>
      <c r="J218" s="56">
        <v>0</v>
      </c>
      <c r="K218" s="56"/>
      <c r="L218" s="56"/>
      <c r="M218" s="56"/>
      <c r="N218" s="83">
        <v>0</v>
      </c>
      <c r="O218" s="80">
        <f t="shared" si="8"/>
        <v>0</v>
      </c>
      <c r="P218" s="80">
        <f t="shared" si="9"/>
        <v>0</v>
      </c>
    </row>
    <row r="219" spans="1:16">
      <c r="D219" s="186" t="s">
        <v>249</v>
      </c>
      <c r="F219" s="101" t="s">
        <v>302</v>
      </c>
      <c r="G219" s="56">
        <v>2145587</v>
      </c>
      <c r="H219" s="56">
        <v>1682361</v>
      </c>
      <c r="I219" s="56">
        <v>1682361</v>
      </c>
      <c r="J219" s="56">
        <v>1682361</v>
      </c>
      <c r="K219" s="56">
        <v>1682361</v>
      </c>
      <c r="L219" s="56">
        <v>1680129.5873</v>
      </c>
      <c r="M219" s="56">
        <f>L219-N219</f>
        <v>0</v>
      </c>
      <c r="N219" s="83">
        <v>1680129.5873</v>
      </c>
      <c r="O219" s="80">
        <f t="shared" si="8"/>
        <v>99.867364216122468</v>
      </c>
      <c r="P219" s="80">
        <f t="shared" si="9"/>
        <v>99.867364216122468</v>
      </c>
    </row>
    <row r="220" spans="1:16">
      <c r="D220" s="186" t="s">
        <v>303</v>
      </c>
      <c r="F220" s="101" t="s">
        <v>304</v>
      </c>
      <c r="G220" s="56">
        <v>9343467</v>
      </c>
      <c r="H220" s="56">
        <v>5475557</v>
      </c>
      <c r="I220" s="56">
        <v>5475557</v>
      </c>
      <c r="J220" s="56">
        <v>5475557</v>
      </c>
      <c r="K220" s="56">
        <v>5475557</v>
      </c>
      <c r="L220" s="56">
        <v>5023343.8874000004</v>
      </c>
      <c r="M220" s="56">
        <f>L220-N220</f>
        <v>613.5054999999702</v>
      </c>
      <c r="N220" s="83">
        <v>5022730.3819000004</v>
      </c>
      <c r="O220" s="80">
        <f t="shared" si="8"/>
        <v>91.730035536110762</v>
      </c>
      <c r="P220" s="80">
        <f t="shared" si="9"/>
        <v>91.730035536110762</v>
      </c>
    </row>
    <row r="221" spans="1:16">
      <c r="E221" s="78" t="s">
        <v>285</v>
      </c>
      <c r="F221" s="101" t="s">
        <v>305</v>
      </c>
      <c r="G221" s="56">
        <v>0</v>
      </c>
      <c r="H221" s="56">
        <v>0</v>
      </c>
      <c r="I221" s="56">
        <v>2151925</v>
      </c>
      <c r="J221" s="56">
        <v>2151925</v>
      </c>
      <c r="K221" s="56">
        <v>2151925</v>
      </c>
      <c r="L221" s="56">
        <v>1937297</v>
      </c>
      <c r="M221" s="56">
        <f>L221-N221</f>
        <v>0</v>
      </c>
      <c r="N221" s="83">
        <v>1937297</v>
      </c>
      <c r="O221" s="80">
        <f t="shared" si="8"/>
        <v>90.026232326870129</v>
      </c>
      <c r="P221" s="80">
        <f t="shared" si="9"/>
        <v>90.026232326870129</v>
      </c>
    </row>
    <row r="222" spans="1:16">
      <c r="E222" s="78" t="s">
        <v>299</v>
      </c>
      <c r="F222" s="101" t="s">
        <v>306</v>
      </c>
      <c r="G222" s="56">
        <v>0</v>
      </c>
      <c r="H222" s="56">
        <v>0</v>
      </c>
      <c r="I222" s="56">
        <v>3323632</v>
      </c>
      <c r="J222" s="56">
        <v>3323632</v>
      </c>
      <c r="K222" s="56">
        <v>3323632</v>
      </c>
      <c r="L222" s="56">
        <v>3086046.8873999999</v>
      </c>
      <c r="M222" s="56">
        <f>L222-N222</f>
        <v>613.5054999999702</v>
      </c>
      <c r="N222" s="83">
        <v>3085433.3818999999</v>
      </c>
      <c r="O222" s="80">
        <f t="shared" si="8"/>
        <v>92.833183153249209</v>
      </c>
      <c r="P222" s="80">
        <f t="shared" si="9"/>
        <v>92.833183153249209</v>
      </c>
    </row>
    <row r="223" spans="1:16">
      <c r="D223" s="186" t="s">
        <v>307</v>
      </c>
      <c r="F223" s="101" t="s">
        <v>308</v>
      </c>
      <c r="G223" s="56">
        <v>1481410</v>
      </c>
      <c r="H223" s="56">
        <v>1263452</v>
      </c>
      <c r="I223" s="56">
        <v>1263452</v>
      </c>
      <c r="J223" s="56">
        <v>1263452</v>
      </c>
      <c r="K223" s="56">
        <v>1263452</v>
      </c>
      <c r="L223" s="56">
        <v>1263183.3865</v>
      </c>
      <c r="M223" s="56">
        <f>L223-N223</f>
        <v>0</v>
      </c>
      <c r="N223" s="83">
        <v>1263183.3865</v>
      </c>
      <c r="O223" s="80">
        <f t="shared" si="8"/>
        <v>99.978739714686441</v>
      </c>
      <c r="P223" s="80">
        <f t="shared" si="9"/>
        <v>99.978739714686441</v>
      </c>
    </row>
    <row r="224" spans="1:16">
      <c r="D224" s="186" t="s">
        <v>311</v>
      </c>
      <c r="F224" s="101" t="s">
        <v>312</v>
      </c>
      <c r="G224" s="56">
        <v>529400</v>
      </c>
      <c r="H224" s="56">
        <v>0</v>
      </c>
      <c r="I224" s="56">
        <v>0</v>
      </c>
      <c r="J224" s="56">
        <v>0</v>
      </c>
      <c r="K224" s="56"/>
      <c r="L224" s="56"/>
      <c r="M224" s="56"/>
      <c r="N224" s="83">
        <v>0</v>
      </c>
      <c r="O224" s="80">
        <f t="shared" si="8"/>
        <v>0</v>
      </c>
      <c r="P224" s="80">
        <f t="shared" si="9"/>
        <v>0</v>
      </c>
    </row>
    <row r="225" spans="1:16">
      <c r="D225" s="186" t="s">
        <v>313</v>
      </c>
      <c r="F225" s="101" t="s">
        <v>314</v>
      </c>
      <c r="G225" s="56">
        <v>9164742</v>
      </c>
      <c r="H225" s="56">
        <v>9164742</v>
      </c>
      <c r="I225" s="56">
        <v>9164742</v>
      </c>
      <c r="J225" s="56">
        <v>9164742</v>
      </c>
      <c r="K225" s="56">
        <v>9164742</v>
      </c>
      <c r="L225" s="56">
        <v>9164742</v>
      </c>
      <c r="M225" s="56">
        <f t="shared" ref="M225:M288" si="11">L225-N225</f>
        <v>0</v>
      </c>
      <c r="N225" s="83">
        <v>9164742</v>
      </c>
      <c r="O225" s="80">
        <f t="shared" si="8"/>
        <v>100</v>
      </c>
      <c r="P225" s="80">
        <f t="shared" si="9"/>
        <v>100</v>
      </c>
    </row>
    <row r="226" spans="1:16">
      <c r="D226" s="186" t="s">
        <v>269</v>
      </c>
      <c r="F226" s="101" t="s">
        <v>315</v>
      </c>
      <c r="G226" s="56">
        <v>11442</v>
      </c>
      <c r="H226" s="56">
        <v>11442</v>
      </c>
      <c r="I226" s="56">
        <v>11442</v>
      </c>
      <c r="J226" s="56">
        <v>11442</v>
      </c>
      <c r="K226" s="56">
        <v>11442</v>
      </c>
      <c r="L226" s="56">
        <v>11442</v>
      </c>
      <c r="M226" s="56">
        <f t="shared" si="11"/>
        <v>0</v>
      </c>
      <c r="N226" s="83">
        <v>11442</v>
      </c>
      <c r="O226" s="80">
        <f t="shared" si="8"/>
        <v>100</v>
      </c>
      <c r="P226" s="80">
        <f t="shared" si="9"/>
        <v>100</v>
      </c>
    </row>
    <row r="227" spans="1:16">
      <c r="A227" s="76"/>
      <c r="B227" s="76"/>
      <c r="C227" s="76" t="s">
        <v>322</v>
      </c>
      <c r="D227" s="76"/>
      <c r="E227" s="76"/>
      <c r="F227" s="103" t="s">
        <v>323</v>
      </c>
      <c r="G227" s="55">
        <v>30868527</v>
      </c>
      <c r="H227" s="55">
        <v>24551742.199999999</v>
      </c>
      <c r="I227" s="55">
        <v>24532094</v>
      </c>
      <c r="J227" s="55">
        <v>24532094</v>
      </c>
      <c r="K227" s="55">
        <v>24532094</v>
      </c>
      <c r="L227" s="55">
        <v>22632883.255199999</v>
      </c>
      <c r="M227" s="55">
        <f t="shared" si="11"/>
        <v>22654.598699998111</v>
      </c>
      <c r="N227" s="55">
        <v>22610228.656500001</v>
      </c>
      <c r="O227" s="77">
        <f t="shared" si="8"/>
        <v>92.165913992095412</v>
      </c>
      <c r="P227" s="77">
        <f t="shared" si="9"/>
        <v>92.165913992095412</v>
      </c>
    </row>
    <row r="228" spans="1:16" ht="21">
      <c r="D228" s="186" t="s">
        <v>374</v>
      </c>
      <c r="F228" s="79" t="s">
        <v>375</v>
      </c>
      <c r="G228" s="56">
        <v>1516223</v>
      </c>
      <c r="H228" s="56">
        <v>1431427.9</v>
      </c>
      <c r="I228" s="56">
        <v>1431259.9</v>
      </c>
      <c r="J228" s="56">
        <v>1431259.9</v>
      </c>
      <c r="K228" s="56">
        <v>1431259.9</v>
      </c>
      <c r="L228" s="56">
        <v>1428351.3755000001</v>
      </c>
      <c r="M228" s="56">
        <f t="shared" si="11"/>
        <v>2197.7287000000942</v>
      </c>
      <c r="N228" s="56">
        <v>1426153.6468</v>
      </c>
      <c r="O228" s="80">
        <f t="shared" si="8"/>
        <v>99.643233685230754</v>
      </c>
      <c r="P228" s="80">
        <f t="shared" si="9"/>
        <v>99.643233685230754</v>
      </c>
    </row>
    <row r="229" spans="1:16">
      <c r="E229" s="78" t="s">
        <v>261</v>
      </c>
      <c r="F229" s="79" t="s">
        <v>325</v>
      </c>
      <c r="G229" s="56">
        <v>0</v>
      </c>
      <c r="H229" s="56">
        <v>0</v>
      </c>
      <c r="I229" s="56">
        <v>7539.4</v>
      </c>
      <c r="J229" s="56">
        <v>7539.4</v>
      </c>
      <c r="K229" s="56">
        <v>7539.4</v>
      </c>
      <c r="L229" s="56">
        <v>7010.6958000000004</v>
      </c>
      <c r="M229" s="56">
        <f t="shared" si="11"/>
        <v>0</v>
      </c>
      <c r="N229" s="56">
        <v>7010.6958000000004</v>
      </c>
      <c r="O229" s="80">
        <f t="shared" si="8"/>
        <v>92.987449929702635</v>
      </c>
      <c r="P229" s="80">
        <f t="shared" si="9"/>
        <v>92.987449929702635</v>
      </c>
    </row>
    <row r="230" spans="1:16">
      <c r="E230" s="78" t="s">
        <v>326</v>
      </c>
      <c r="F230" s="79" t="s">
        <v>327</v>
      </c>
      <c r="G230" s="56">
        <v>0</v>
      </c>
      <c r="H230" s="56">
        <v>0</v>
      </c>
      <c r="I230" s="56">
        <v>1423720.5</v>
      </c>
      <c r="J230" s="56">
        <v>1423720.5</v>
      </c>
      <c r="K230" s="56">
        <v>1423720.5</v>
      </c>
      <c r="L230" s="56">
        <v>1421340.6798</v>
      </c>
      <c r="M230" s="56">
        <f t="shared" si="11"/>
        <v>2197.7286000000313</v>
      </c>
      <c r="N230" s="56">
        <v>1419142.9512</v>
      </c>
      <c r="O230" s="80">
        <f t="shared" si="8"/>
        <v>99.678479813980346</v>
      </c>
      <c r="P230" s="80">
        <f t="shared" si="9"/>
        <v>99.678479813980346</v>
      </c>
    </row>
    <row r="231" spans="1:16">
      <c r="D231" s="186" t="s">
        <v>241</v>
      </c>
      <c r="F231" s="79" t="s">
        <v>376</v>
      </c>
      <c r="G231" s="56">
        <v>4156547</v>
      </c>
      <c r="H231" s="56">
        <v>4394796.4000000004</v>
      </c>
      <c r="I231" s="56">
        <v>4303533.4000000004</v>
      </c>
      <c r="J231" s="56">
        <v>4303533.4000000004</v>
      </c>
      <c r="K231" s="56">
        <v>4303533.4000000004</v>
      </c>
      <c r="L231" s="56">
        <v>4211604.1391000003</v>
      </c>
      <c r="M231" s="56">
        <f t="shared" si="11"/>
        <v>10255.594500000589</v>
      </c>
      <c r="N231" s="56">
        <v>4201348.5445999997</v>
      </c>
      <c r="O231" s="80">
        <f t="shared" si="8"/>
        <v>97.625559141704329</v>
      </c>
      <c r="P231" s="80">
        <f t="shared" si="9"/>
        <v>97.625559141704329</v>
      </c>
    </row>
    <row r="232" spans="1:16">
      <c r="E232" s="78" t="s">
        <v>261</v>
      </c>
      <c r="F232" s="79" t="s">
        <v>325</v>
      </c>
      <c r="G232" s="56">
        <v>0</v>
      </c>
      <c r="H232" s="56">
        <v>0</v>
      </c>
      <c r="I232" s="56">
        <v>2012733</v>
      </c>
      <c r="J232" s="56">
        <v>2012733</v>
      </c>
      <c r="K232" s="56">
        <v>2012733</v>
      </c>
      <c r="L232" s="56">
        <v>1921089.5656000001</v>
      </c>
      <c r="M232" s="56">
        <f t="shared" si="11"/>
        <v>2.0000000949949026E-3</v>
      </c>
      <c r="N232" s="56">
        <v>1921089.5636</v>
      </c>
      <c r="O232" s="80">
        <f t="shared" si="8"/>
        <v>95.446816025771923</v>
      </c>
      <c r="P232" s="80">
        <f t="shared" si="9"/>
        <v>95.446816025771923</v>
      </c>
    </row>
    <row r="233" spans="1:16">
      <c r="E233" s="78" t="s">
        <v>326</v>
      </c>
      <c r="F233" s="79" t="s">
        <v>327</v>
      </c>
      <c r="G233" s="56">
        <v>0</v>
      </c>
      <c r="H233" s="56">
        <v>0</v>
      </c>
      <c r="I233" s="56">
        <v>2290800.4</v>
      </c>
      <c r="J233" s="56">
        <v>2290800.4</v>
      </c>
      <c r="K233" s="56">
        <v>2290800.4</v>
      </c>
      <c r="L233" s="56">
        <v>2290514.5735999998</v>
      </c>
      <c r="M233" s="56">
        <f t="shared" si="11"/>
        <v>10255.592499999795</v>
      </c>
      <c r="N233" s="56">
        <v>2280258.9811</v>
      </c>
      <c r="O233" s="80">
        <f t="shared" si="8"/>
        <v>99.539836866625308</v>
      </c>
      <c r="P233" s="80">
        <f t="shared" si="9"/>
        <v>99.539836866625308</v>
      </c>
    </row>
    <row r="234" spans="1:16">
      <c r="D234" s="186" t="s">
        <v>297</v>
      </c>
      <c r="F234" s="79" t="s">
        <v>377</v>
      </c>
      <c r="G234" s="56">
        <v>797499</v>
      </c>
      <c r="H234" s="56">
        <v>763815</v>
      </c>
      <c r="I234" s="56">
        <v>762566</v>
      </c>
      <c r="J234" s="56">
        <v>762566</v>
      </c>
      <c r="K234" s="56">
        <v>762566</v>
      </c>
      <c r="L234" s="56">
        <v>762415.60759999999</v>
      </c>
      <c r="M234" s="56">
        <f t="shared" si="11"/>
        <v>910.31359999999404</v>
      </c>
      <c r="N234" s="56">
        <v>761505.29399999999</v>
      </c>
      <c r="O234" s="80">
        <f t="shared" si="8"/>
        <v>99.860903056260057</v>
      </c>
      <c r="P234" s="80">
        <f t="shared" si="9"/>
        <v>99.860903056260057</v>
      </c>
    </row>
    <row r="235" spans="1:16">
      <c r="E235" s="78" t="s">
        <v>261</v>
      </c>
      <c r="F235" s="79" t="s">
        <v>325</v>
      </c>
      <c r="G235" s="56">
        <v>0</v>
      </c>
      <c r="H235" s="56">
        <v>0</v>
      </c>
      <c r="I235" s="56">
        <v>19978</v>
      </c>
      <c r="J235" s="56">
        <v>19978</v>
      </c>
      <c r="K235" s="56">
        <v>19978</v>
      </c>
      <c r="L235" s="56">
        <v>19977.998640000002</v>
      </c>
      <c r="M235" s="56">
        <f t="shared" si="11"/>
        <v>165.33902000000307</v>
      </c>
      <c r="N235" s="56">
        <v>19812.659619999999</v>
      </c>
      <c r="O235" s="80">
        <f t="shared" si="8"/>
        <v>99.172387726499139</v>
      </c>
      <c r="P235" s="80">
        <f t="shared" si="9"/>
        <v>99.172387726499139</v>
      </c>
    </row>
    <row r="236" spans="1:16">
      <c r="E236" s="78" t="s">
        <v>326</v>
      </c>
      <c r="F236" s="79" t="s">
        <v>327</v>
      </c>
      <c r="G236" s="56">
        <v>0</v>
      </c>
      <c r="H236" s="56">
        <v>0</v>
      </c>
      <c r="I236" s="56">
        <v>742588</v>
      </c>
      <c r="J236" s="56">
        <v>742588</v>
      </c>
      <c r="K236" s="56">
        <v>742588</v>
      </c>
      <c r="L236" s="56">
        <v>742437.60892000003</v>
      </c>
      <c r="M236" s="56">
        <f t="shared" si="11"/>
        <v>744.97450000001118</v>
      </c>
      <c r="N236" s="56">
        <v>741692.63442000002</v>
      </c>
      <c r="O236" s="80">
        <f t="shared" si="8"/>
        <v>99.879426333309993</v>
      </c>
      <c r="P236" s="80">
        <f t="shared" si="9"/>
        <v>99.879426333309993</v>
      </c>
    </row>
    <row r="237" spans="1:16" ht="21">
      <c r="D237" s="186" t="s">
        <v>299</v>
      </c>
      <c r="F237" s="79" t="s">
        <v>378</v>
      </c>
      <c r="G237" s="56">
        <v>342427</v>
      </c>
      <c r="H237" s="56">
        <v>356785.4</v>
      </c>
      <c r="I237" s="56">
        <v>356785.4</v>
      </c>
      <c r="J237" s="56">
        <v>356785.4</v>
      </c>
      <c r="K237" s="56">
        <v>356785.4</v>
      </c>
      <c r="L237" s="56">
        <v>355797.53159999999</v>
      </c>
      <c r="M237" s="56">
        <f t="shared" si="11"/>
        <v>10.112299999978859</v>
      </c>
      <c r="N237" s="56">
        <v>355787.41930000001</v>
      </c>
      <c r="O237" s="80">
        <f t="shared" si="8"/>
        <v>99.720285443294472</v>
      </c>
      <c r="P237" s="80">
        <f t="shared" si="9"/>
        <v>99.720285443294472</v>
      </c>
    </row>
    <row r="238" spans="1:16">
      <c r="D238" s="186" t="s">
        <v>279</v>
      </c>
      <c r="F238" s="79" t="s">
        <v>379</v>
      </c>
      <c r="G238" s="56">
        <v>798681</v>
      </c>
      <c r="H238" s="56">
        <v>743463</v>
      </c>
      <c r="I238" s="56">
        <v>743463</v>
      </c>
      <c r="J238" s="56">
        <v>743463</v>
      </c>
      <c r="K238" s="56">
        <v>743463</v>
      </c>
      <c r="L238" s="56">
        <v>743457.82900000003</v>
      </c>
      <c r="M238" s="56">
        <f t="shared" si="11"/>
        <v>25</v>
      </c>
      <c r="N238" s="56">
        <v>743432.82900000003</v>
      </c>
      <c r="O238" s="80">
        <f t="shared" si="8"/>
        <v>99.995941828981401</v>
      </c>
      <c r="P238" s="80">
        <f t="shared" si="9"/>
        <v>99.995941828981401</v>
      </c>
    </row>
    <row r="239" spans="1:16">
      <c r="E239" s="78" t="s">
        <v>261</v>
      </c>
      <c r="F239" s="79" t="s">
        <v>325</v>
      </c>
      <c r="G239" s="56">
        <v>0</v>
      </c>
      <c r="H239" s="56">
        <v>0</v>
      </c>
      <c r="I239" s="56">
        <v>22506</v>
      </c>
      <c r="J239" s="56">
        <v>22506</v>
      </c>
      <c r="K239" s="56">
        <v>22506</v>
      </c>
      <c r="L239" s="56">
        <v>22506</v>
      </c>
      <c r="M239" s="56">
        <f t="shared" si="11"/>
        <v>0</v>
      </c>
      <c r="N239" s="56">
        <v>22506</v>
      </c>
      <c r="O239" s="80">
        <f t="shared" si="8"/>
        <v>100</v>
      </c>
      <c r="P239" s="80">
        <f t="shared" si="9"/>
        <v>100</v>
      </c>
    </row>
    <row r="240" spans="1:16">
      <c r="E240" s="78" t="s">
        <v>326</v>
      </c>
      <c r="F240" s="79" t="s">
        <v>327</v>
      </c>
      <c r="G240" s="56">
        <v>0</v>
      </c>
      <c r="H240" s="56">
        <v>0</v>
      </c>
      <c r="I240" s="56">
        <v>720957</v>
      </c>
      <c r="J240" s="56">
        <v>720957</v>
      </c>
      <c r="K240" s="56">
        <v>720957</v>
      </c>
      <c r="L240" s="56">
        <v>720951.82900000003</v>
      </c>
      <c r="M240" s="56">
        <f t="shared" si="11"/>
        <v>25</v>
      </c>
      <c r="N240" s="56">
        <v>720926.82900000003</v>
      </c>
      <c r="O240" s="80">
        <f t="shared" si="8"/>
        <v>99.995815145702167</v>
      </c>
      <c r="P240" s="80">
        <f t="shared" si="9"/>
        <v>99.995815145702167</v>
      </c>
    </row>
    <row r="241" spans="1:16" ht="21">
      <c r="D241" s="186" t="s">
        <v>311</v>
      </c>
      <c r="F241" s="79" t="s">
        <v>380</v>
      </c>
      <c r="G241" s="56">
        <v>108902</v>
      </c>
      <c r="H241" s="56">
        <v>105302</v>
      </c>
      <c r="I241" s="56">
        <v>105302</v>
      </c>
      <c r="J241" s="56">
        <v>105302</v>
      </c>
      <c r="K241" s="56">
        <v>105302</v>
      </c>
      <c r="L241" s="56">
        <v>105302</v>
      </c>
      <c r="M241" s="56">
        <f t="shared" si="11"/>
        <v>0</v>
      </c>
      <c r="N241" s="56">
        <v>105302</v>
      </c>
      <c r="O241" s="80">
        <f t="shared" si="8"/>
        <v>100</v>
      </c>
      <c r="P241" s="80">
        <f t="shared" si="9"/>
        <v>100</v>
      </c>
    </row>
    <row r="242" spans="1:16">
      <c r="D242" s="186" t="s">
        <v>381</v>
      </c>
      <c r="F242" s="79" t="s">
        <v>382</v>
      </c>
      <c r="G242" s="56">
        <v>24338</v>
      </c>
      <c r="H242" s="56">
        <v>24338</v>
      </c>
      <c r="I242" s="56">
        <v>24338</v>
      </c>
      <c r="J242" s="56">
        <v>24338</v>
      </c>
      <c r="K242" s="56">
        <v>24338</v>
      </c>
      <c r="L242" s="56">
        <v>24338</v>
      </c>
      <c r="M242" s="56">
        <f t="shared" si="11"/>
        <v>0</v>
      </c>
      <c r="N242" s="56">
        <v>24338</v>
      </c>
      <c r="O242" s="80">
        <f t="shared" si="8"/>
        <v>100</v>
      </c>
      <c r="P242" s="80">
        <f t="shared" si="9"/>
        <v>100</v>
      </c>
    </row>
    <row r="243" spans="1:16">
      <c r="E243" s="78" t="s">
        <v>326</v>
      </c>
      <c r="F243" s="79" t="s">
        <v>327</v>
      </c>
      <c r="G243" s="56">
        <v>0</v>
      </c>
      <c r="H243" s="56">
        <v>0</v>
      </c>
      <c r="I243" s="56">
        <v>24338</v>
      </c>
      <c r="J243" s="56">
        <v>24338</v>
      </c>
      <c r="K243" s="56">
        <v>24338</v>
      </c>
      <c r="L243" s="56">
        <v>24338</v>
      </c>
      <c r="M243" s="56">
        <f t="shared" si="11"/>
        <v>0</v>
      </c>
      <c r="N243" s="56">
        <v>24338</v>
      </c>
      <c r="O243" s="80">
        <f t="shared" ref="O243:O303" si="12">IF(J243=0,0,N243/J243*100)</f>
        <v>100</v>
      </c>
      <c r="P243" s="80">
        <f t="shared" ref="P243:P303" si="13">IF(I243=0,0,N243/I243*100)</f>
        <v>100</v>
      </c>
    </row>
    <row r="244" spans="1:16">
      <c r="D244" s="186" t="s">
        <v>383</v>
      </c>
      <c r="F244" s="79" t="s">
        <v>384</v>
      </c>
      <c r="G244" s="56">
        <v>24091</v>
      </c>
      <c r="H244" s="56">
        <v>25795.5</v>
      </c>
      <c r="I244" s="56">
        <v>25795.5</v>
      </c>
      <c r="J244" s="56">
        <v>25795.5</v>
      </c>
      <c r="K244" s="56">
        <v>25795.5</v>
      </c>
      <c r="L244" s="56">
        <v>24844.874100000001</v>
      </c>
      <c r="M244" s="56">
        <f t="shared" si="11"/>
        <v>986.6710000000021</v>
      </c>
      <c r="N244" s="56">
        <v>23858.203099999999</v>
      </c>
      <c r="O244" s="80">
        <f t="shared" si="12"/>
        <v>92.489787366013445</v>
      </c>
      <c r="P244" s="80">
        <f t="shared" si="13"/>
        <v>92.489787366013445</v>
      </c>
    </row>
    <row r="245" spans="1:16">
      <c r="D245" s="186" t="s">
        <v>385</v>
      </c>
      <c r="F245" s="79" t="s">
        <v>1488</v>
      </c>
      <c r="G245" s="56">
        <v>23099819</v>
      </c>
      <c r="H245" s="56">
        <v>16681019</v>
      </c>
      <c r="I245" s="56">
        <v>16681019</v>
      </c>
      <c r="J245" s="56">
        <v>16681019</v>
      </c>
      <c r="K245" s="56">
        <v>16681019</v>
      </c>
      <c r="L245" s="56">
        <v>14878740.4133</v>
      </c>
      <c r="M245" s="56">
        <f t="shared" si="11"/>
        <v>919.17870000004768</v>
      </c>
      <c r="N245" s="56">
        <v>14877821.2346</v>
      </c>
      <c r="O245" s="80">
        <f t="shared" si="12"/>
        <v>89.190122225746521</v>
      </c>
      <c r="P245" s="80">
        <f t="shared" si="13"/>
        <v>89.190122225746521</v>
      </c>
    </row>
    <row r="246" spans="1:16">
      <c r="E246" s="78" t="s">
        <v>326</v>
      </c>
      <c r="F246" s="79" t="s">
        <v>327</v>
      </c>
      <c r="G246" s="56">
        <v>0</v>
      </c>
      <c r="H246" s="56">
        <v>0</v>
      </c>
      <c r="I246" s="56">
        <v>16681019</v>
      </c>
      <c r="J246" s="56">
        <v>16681019</v>
      </c>
      <c r="K246" s="56">
        <v>16681019</v>
      </c>
      <c r="L246" s="56">
        <v>14878740.4133</v>
      </c>
      <c r="M246" s="56">
        <f t="shared" si="11"/>
        <v>919.17870000004768</v>
      </c>
      <c r="N246" s="56">
        <v>14877821.2346</v>
      </c>
      <c r="O246" s="80">
        <f t="shared" si="12"/>
        <v>89.190122225746521</v>
      </c>
      <c r="P246" s="80">
        <f t="shared" si="13"/>
        <v>89.190122225746521</v>
      </c>
    </row>
    <row r="247" spans="1:16" ht="21">
      <c r="D247" s="186" t="s">
        <v>386</v>
      </c>
      <c r="F247" s="79" t="s">
        <v>387</v>
      </c>
      <c r="G247" s="56">
        <v>0</v>
      </c>
      <c r="H247" s="56">
        <v>25000</v>
      </c>
      <c r="I247" s="56">
        <v>25000</v>
      </c>
      <c r="J247" s="56">
        <v>25000</v>
      </c>
      <c r="K247" s="56">
        <v>25000</v>
      </c>
      <c r="L247" s="56">
        <v>25000</v>
      </c>
      <c r="M247" s="56">
        <f t="shared" si="11"/>
        <v>0</v>
      </c>
      <c r="N247" s="56">
        <v>25000</v>
      </c>
      <c r="O247" s="80">
        <f t="shared" si="12"/>
        <v>100</v>
      </c>
      <c r="P247" s="80">
        <f t="shared" si="13"/>
        <v>100</v>
      </c>
    </row>
    <row r="248" spans="1:16" ht="31.5">
      <c r="D248" s="186" t="s">
        <v>388</v>
      </c>
      <c r="F248" s="79" t="s">
        <v>389</v>
      </c>
      <c r="G248" s="56">
        <v>0</v>
      </c>
      <c r="H248" s="56">
        <v>0</v>
      </c>
      <c r="I248" s="56">
        <v>1604.3</v>
      </c>
      <c r="J248" s="56">
        <v>1604.3</v>
      </c>
      <c r="K248" s="56">
        <v>1604.3</v>
      </c>
      <c r="L248" s="56">
        <v>1604</v>
      </c>
      <c r="M248" s="56">
        <f t="shared" si="11"/>
        <v>0</v>
      </c>
      <c r="N248" s="56">
        <v>1604</v>
      </c>
      <c r="O248" s="80">
        <f t="shared" si="12"/>
        <v>99.981300255563184</v>
      </c>
      <c r="P248" s="80">
        <f t="shared" si="13"/>
        <v>99.981300255563184</v>
      </c>
    </row>
    <row r="249" spans="1:16" ht="21">
      <c r="D249" s="186" t="s">
        <v>390</v>
      </c>
      <c r="F249" s="79" t="s">
        <v>391</v>
      </c>
      <c r="G249" s="56">
        <v>0</v>
      </c>
      <c r="H249" s="56">
        <v>0</v>
      </c>
      <c r="I249" s="56">
        <v>257</v>
      </c>
      <c r="J249" s="56">
        <v>257</v>
      </c>
      <c r="K249" s="56">
        <v>257</v>
      </c>
      <c r="L249" s="56">
        <v>256.98500000000001</v>
      </c>
      <c r="M249" s="56">
        <f t="shared" si="11"/>
        <v>0</v>
      </c>
      <c r="N249" s="56">
        <v>256.98500000000001</v>
      </c>
      <c r="O249" s="80">
        <f t="shared" si="12"/>
        <v>99.994163424124523</v>
      </c>
      <c r="P249" s="80">
        <f t="shared" si="13"/>
        <v>99.994163424124523</v>
      </c>
    </row>
    <row r="250" spans="1:16" ht="42">
      <c r="D250" s="186" t="s">
        <v>392</v>
      </c>
      <c r="F250" s="79" t="s">
        <v>393</v>
      </c>
      <c r="G250" s="56">
        <v>0</v>
      </c>
      <c r="H250" s="56">
        <v>0</v>
      </c>
      <c r="I250" s="56">
        <v>71170.5</v>
      </c>
      <c r="J250" s="56">
        <v>71170.5</v>
      </c>
      <c r="K250" s="56">
        <v>71170.5</v>
      </c>
      <c r="L250" s="56">
        <v>71170.5</v>
      </c>
      <c r="M250" s="56">
        <f t="shared" si="11"/>
        <v>7350</v>
      </c>
      <c r="N250" s="56">
        <v>63820.5</v>
      </c>
      <c r="O250" s="80">
        <f t="shared" si="12"/>
        <v>89.67268741964719</v>
      </c>
      <c r="P250" s="80">
        <f t="shared" si="13"/>
        <v>89.67268741964719</v>
      </c>
    </row>
    <row r="251" spans="1:16">
      <c r="A251" s="76"/>
      <c r="B251" s="76"/>
      <c r="C251" s="76" t="s">
        <v>396</v>
      </c>
      <c r="D251" s="76"/>
      <c r="E251" s="76"/>
      <c r="F251" s="191" t="s">
        <v>397</v>
      </c>
      <c r="G251" s="55">
        <v>25673028</v>
      </c>
      <c r="H251" s="55">
        <v>22388550.399999999</v>
      </c>
      <c r="I251" s="55">
        <v>23629442.399999999</v>
      </c>
      <c r="J251" s="55">
        <v>23629442.399999999</v>
      </c>
      <c r="K251" s="55">
        <v>23629442.399999999</v>
      </c>
      <c r="L251" s="55">
        <v>23618904.341499999</v>
      </c>
      <c r="M251" s="55">
        <f t="shared" si="11"/>
        <v>441250.95169999823</v>
      </c>
      <c r="N251" s="55">
        <v>23177653.389800001</v>
      </c>
      <c r="O251" s="77">
        <f t="shared" si="12"/>
        <v>98.088025089411346</v>
      </c>
      <c r="P251" s="77">
        <f t="shared" si="13"/>
        <v>98.088025089411346</v>
      </c>
    </row>
    <row r="252" spans="1:16">
      <c r="D252" s="186" t="s">
        <v>358</v>
      </c>
      <c r="F252" s="79" t="s">
        <v>292</v>
      </c>
      <c r="G252" s="56">
        <v>24721114</v>
      </c>
      <c r="H252" s="56">
        <v>21591363.800000001</v>
      </c>
      <c r="I252" s="56">
        <v>21635359.800000001</v>
      </c>
      <c r="J252" s="56">
        <v>21635359.800000001</v>
      </c>
      <c r="K252" s="56">
        <v>21635359.800000001</v>
      </c>
      <c r="L252" s="56">
        <v>21624867.529399998</v>
      </c>
      <c r="M252" s="56">
        <f t="shared" si="11"/>
        <v>423013.91759999841</v>
      </c>
      <c r="N252" s="56">
        <v>21201853.6118</v>
      </c>
      <c r="O252" s="80">
        <f t="shared" si="12"/>
        <v>97.996307007568234</v>
      </c>
      <c r="P252" s="80">
        <f t="shared" si="13"/>
        <v>97.996307007568234</v>
      </c>
    </row>
    <row r="253" spans="1:16">
      <c r="E253" s="78" t="s">
        <v>261</v>
      </c>
      <c r="F253" s="79" t="s">
        <v>325</v>
      </c>
      <c r="G253" s="56">
        <v>0</v>
      </c>
      <c r="H253" s="56">
        <v>0</v>
      </c>
      <c r="I253" s="56">
        <v>14069216</v>
      </c>
      <c r="J253" s="56">
        <v>14069216</v>
      </c>
      <c r="K253" s="56">
        <v>14069216</v>
      </c>
      <c r="L253" s="56">
        <v>14069215.9999</v>
      </c>
      <c r="M253" s="56">
        <f t="shared" si="11"/>
        <v>335787.00610999949</v>
      </c>
      <c r="N253" s="56">
        <v>13733428.993790001</v>
      </c>
      <c r="O253" s="80">
        <f t="shared" si="12"/>
        <v>97.613321124574398</v>
      </c>
      <c r="P253" s="80">
        <f t="shared" si="13"/>
        <v>97.613321124574398</v>
      </c>
    </row>
    <row r="254" spans="1:16">
      <c r="E254" s="78" t="s">
        <v>326</v>
      </c>
      <c r="F254" s="79" t="s">
        <v>327</v>
      </c>
      <c r="G254" s="56">
        <v>0</v>
      </c>
      <c r="H254" s="56">
        <v>0</v>
      </c>
      <c r="I254" s="56">
        <v>7566143.7999999998</v>
      </c>
      <c r="J254" s="56">
        <v>7566143.7999999998</v>
      </c>
      <c r="K254" s="56">
        <v>7566143.7999999998</v>
      </c>
      <c r="L254" s="56">
        <v>7555651.5295000002</v>
      </c>
      <c r="M254" s="56">
        <f t="shared" si="11"/>
        <v>87226.911500000395</v>
      </c>
      <c r="N254" s="56">
        <v>7468424.6179999998</v>
      </c>
      <c r="O254" s="80">
        <f t="shared" si="12"/>
        <v>98.70846781949875</v>
      </c>
      <c r="P254" s="80">
        <f t="shared" si="13"/>
        <v>98.70846781949875</v>
      </c>
    </row>
    <row r="255" spans="1:16" ht="31.5">
      <c r="D255" s="186" t="s">
        <v>398</v>
      </c>
      <c r="F255" s="79" t="s">
        <v>1489</v>
      </c>
      <c r="G255" s="56">
        <v>951914</v>
      </c>
      <c r="H255" s="56">
        <v>797186.6</v>
      </c>
      <c r="I255" s="56">
        <v>1994082.6</v>
      </c>
      <c r="J255" s="56">
        <v>1994082.6</v>
      </c>
      <c r="K255" s="56">
        <v>1994082.6</v>
      </c>
      <c r="L255" s="56">
        <v>1994036.8121</v>
      </c>
      <c r="M255" s="56">
        <f t="shared" si="11"/>
        <v>18237.034100000048</v>
      </c>
      <c r="N255" s="56">
        <v>1975799.7779999999</v>
      </c>
      <c r="O255" s="80">
        <f t="shared" si="12"/>
        <v>99.083146204675771</v>
      </c>
      <c r="P255" s="80">
        <f t="shared" si="13"/>
        <v>99.083146204675771</v>
      </c>
    </row>
    <row r="256" spans="1:16">
      <c r="E256" s="78" t="s">
        <v>261</v>
      </c>
      <c r="F256" s="79" t="s">
        <v>325</v>
      </c>
      <c r="G256" s="56">
        <v>0</v>
      </c>
      <c r="H256" s="56">
        <v>0</v>
      </c>
      <c r="I256" s="56">
        <v>1196896</v>
      </c>
      <c r="J256" s="56">
        <v>1196896</v>
      </c>
      <c r="K256" s="56">
        <v>1196896</v>
      </c>
      <c r="L256" s="56">
        <v>1196894.40059</v>
      </c>
      <c r="M256" s="56">
        <f t="shared" si="11"/>
        <v>10926.507350000087</v>
      </c>
      <c r="N256" s="56">
        <v>1185967.8932399999</v>
      </c>
      <c r="O256" s="80">
        <f t="shared" si="12"/>
        <v>99.086962713552381</v>
      </c>
      <c r="P256" s="80">
        <f t="shared" si="13"/>
        <v>99.086962713552381</v>
      </c>
    </row>
    <row r="257" spans="1:16">
      <c r="E257" s="78" t="s">
        <v>326</v>
      </c>
      <c r="F257" s="79" t="s">
        <v>327</v>
      </c>
      <c r="G257" s="56">
        <v>0</v>
      </c>
      <c r="H257" s="56">
        <v>0</v>
      </c>
      <c r="I257" s="56">
        <v>797186.6</v>
      </c>
      <c r="J257" s="56">
        <v>797186.6</v>
      </c>
      <c r="K257" s="56">
        <v>797186.6</v>
      </c>
      <c r="L257" s="56">
        <v>797142.41150000005</v>
      </c>
      <c r="M257" s="56">
        <f t="shared" si="11"/>
        <v>7310.5267000000458</v>
      </c>
      <c r="N257" s="56">
        <v>789831.8848</v>
      </c>
      <c r="O257" s="80">
        <f t="shared" si="12"/>
        <v>99.077416103080509</v>
      </c>
      <c r="P257" s="80">
        <f t="shared" si="13"/>
        <v>99.077416103080509</v>
      </c>
    </row>
    <row r="258" spans="1:16" ht="22.5">
      <c r="A258" s="76"/>
      <c r="B258" s="76"/>
      <c r="C258" s="76" t="s">
        <v>399</v>
      </c>
      <c r="D258" s="76"/>
      <c r="E258" s="76"/>
      <c r="F258" s="192" t="s">
        <v>4</v>
      </c>
      <c r="G258" s="55">
        <v>8942408</v>
      </c>
      <c r="H258" s="55">
        <v>9244977</v>
      </c>
      <c r="I258" s="55">
        <v>9381914</v>
      </c>
      <c r="J258" s="55">
        <v>9381914</v>
      </c>
      <c r="K258" s="55">
        <v>9381914</v>
      </c>
      <c r="L258" s="55">
        <v>9381261.6580999997</v>
      </c>
      <c r="M258" s="55">
        <f t="shared" si="11"/>
        <v>0</v>
      </c>
      <c r="N258" s="55">
        <v>9381261.6580999997</v>
      </c>
      <c r="O258" s="77">
        <f t="shared" si="12"/>
        <v>99.993046814328082</v>
      </c>
      <c r="P258" s="77">
        <f t="shared" si="13"/>
        <v>99.993046814328082</v>
      </c>
    </row>
    <row r="259" spans="1:16">
      <c r="D259" s="186" t="s">
        <v>297</v>
      </c>
      <c r="F259" s="79" t="s">
        <v>292</v>
      </c>
      <c r="G259" s="56">
        <v>8691417</v>
      </c>
      <c r="H259" s="56">
        <v>8952795</v>
      </c>
      <c r="I259" s="56">
        <v>8952795</v>
      </c>
      <c r="J259" s="56">
        <v>8952795</v>
      </c>
      <c r="K259" s="56">
        <v>8952795</v>
      </c>
      <c r="L259" s="56">
        <v>8952250.5098000001</v>
      </c>
      <c r="M259" s="56">
        <f t="shared" si="11"/>
        <v>0</v>
      </c>
      <c r="N259" s="56">
        <v>8952250.5098000001</v>
      </c>
      <c r="O259" s="80">
        <f t="shared" si="12"/>
        <v>99.993918209899817</v>
      </c>
      <c r="P259" s="80">
        <f t="shared" si="13"/>
        <v>99.993918209899817</v>
      </c>
    </row>
    <row r="260" spans="1:16">
      <c r="E260" s="78" t="s">
        <v>261</v>
      </c>
      <c r="F260" s="79" t="s">
        <v>325</v>
      </c>
      <c r="G260" s="56">
        <v>0</v>
      </c>
      <c r="H260" s="56">
        <v>0</v>
      </c>
      <c r="I260" s="56">
        <v>6788980</v>
      </c>
      <c r="J260" s="56">
        <v>6788980</v>
      </c>
      <c r="K260" s="56">
        <v>6788980</v>
      </c>
      <c r="L260" s="56">
        <v>6788980</v>
      </c>
      <c r="M260" s="56">
        <f t="shared" si="11"/>
        <v>0</v>
      </c>
      <c r="N260" s="56">
        <v>6788980</v>
      </c>
      <c r="O260" s="80">
        <f t="shared" si="12"/>
        <v>100</v>
      </c>
      <c r="P260" s="80">
        <f t="shared" si="13"/>
        <v>100</v>
      </c>
    </row>
    <row r="261" spans="1:16">
      <c r="E261" s="78" t="s">
        <v>326</v>
      </c>
      <c r="F261" s="79" t="s">
        <v>327</v>
      </c>
      <c r="G261" s="56">
        <v>0</v>
      </c>
      <c r="H261" s="56">
        <v>0</v>
      </c>
      <c r="I261" s="56">
        <v>2163815</v>
      </c>
      <c r="J261" s="56">
        <v>2163815</v>
      </c>
      <c r="K261" s="56">
        <v>2163815</v>
      </c>
      <c r="L261" s="56">
        <v>2163270.5097699999</v>
      </c>
      <c r="M261" s="56">
        <f t="shared" si="11"/>
        <v>0</v>
      </c>
      <c r="N261" s="56">
        <v>2163270.5097699999</v>
      </c>
      <c r="O261" s="80">
        <f t="shared" si="12"/>
        <v>99.974836562737565</v>
      </c>
      <c r="P261" s="80">
        <f t="shared" si="13"/>
        <v>99.974836562737565</v>
      </c>
    </row>
    <row r="262" spans="1:16" ht="31.5">
      <c r="D262" s="186" t="s">
        <v>398</v>
      </c>
      <c r="F262" s="79" t="s">
        <v>1489</v>
      </c>
      <c r="G262" s="56">
        <v>250991</v>
      </c>
      <c r="H262" s="56">
        <v>292182</v>
      </c>
      <c r="I262" s="56">
        <v>429119</v>
      </c>
      <c r="J262" s="56">
        <v>429119</v>
      </c>
      <c r="K262" s="56">
        <v>429119</v>
      </c>
      <c r="L262" s="56">
        <v>429011.14840000001</v>
      </c>
      <c r="M262" s="56">
        <f t="shared" si="11"/>
        <v>0</v>
      </c>
      <c r="N262" s="56">
        <v>429011.14840000001</v>
      </c>
      <c r="O262" s="80">
        <f t="shared" si="12"/>
        <v>99.974866738596987</v>
      </c>
      <c r="P262" s="80">
        <f t="shared" si="13"/>
        <v>99.974866738596987</v>
      </c>
    </row>
    <row r="263" spans="1:16">
      <c r="E263" s="78" t="s">
        <v>261</v>
      </c>
      <c r="F263" s="79" t="s">
        <v>325</v>
      </c>
      <c r="G263" s="56">
        <v>0</v>
      </c>
      <c r="H263" s="56">
        <v>0</v>
      </c>
      <c r="I263" s="56">
        <v>136937</v>
      </c>
      <c r="J263" s="56">
        <v>136937</v>
      </c>
      <c r="K263" s="56">
        <v>136937</v>
      </c>
      <c r="L263" s="56">
        <v>136934.42063000001</v>
      </c>
      <c r="M263" s="56">
        <f t="shared" si="11"/>
        <v>0</v>
      </c>
      <c r="N263" s="56">
        <v>136934.42063000001</v>
      </c>
      <c r="O263" s="80">
        <f t="shared" si="12"/>
        <v>99.998116381985881</v>
      </c>
      <c r="P263" s="80">
        <f t="shared" si="13"/>
        <v>99.998116381985881</v>
      </c>
    </row>
    <row r="264" spans="1:16">
      <c r="E264" s="78" t="s">
        <v>326</v>
      </c>
      <c r="F264" s="79" t="s">
        <v>327</v>
      </c>
      <c r="G264" s="56">
        <v>0</v>
      </c>
      <c r="H264" s="56">
        <v>0</v>
      </c>
      <c r="I264" s="56">
        <v>292182</v>
      </c>
      <c r="J264" s="56">
        <v>292182</v>
      </c>
      <c r="K264" s="56">
        <v>292182</v>
      </c>
      <c r="L264" s="56">
        <v>292076.72772000002</v>
      </c>
      <c r="M264" s="56">
        <f t="shared" si="11"/>
        <v>0</v>
      </c>
      <c r="N264" s="56">
        <v>292076.72772000002</v>
      </c>
      <c r="O264" s="80">
        <f t="shared" si="12"/>
        <v>99.963970306179021</v>
      </c>
      <c r="P264" s="80">
        <f t="shared" si="13"/>
        <v>99.963970306179021</v>
      </c>
    </row>
    <row r="265" spans="1:16" ht="22.5">
      <c r="A265" s="76"/>
      <c r="B265" s="76"/>
      <c r="C265" s="76" t="s">
        <v>400</v>
      </c>
      <c r="D265" s="76"/>
      <c r="E265" s="76"/>
      <c r="F265" s="193" t="s">
        <v>5</v>
      </c>
      <c r="G265" s="55">
        <v>1864016</v>
      </c>
      <c r="H265" s="55">
        <v>5380417.5</v>
      </c>
      <c r="I265" s="55">
        <v>5411816.7999999998</v>
      </c>
      <c r="J265" s="55">
        <v>5411816.7999999998</v>
      </c>
      <c r="K265" s="55">
        <v>5411816.7999999998</v>
      </c>
      <c r="L265" s="55">
        <v>5409631.6720000003</v>
      </c>
      <c r="M265" s="55">
        <f t="shared" si="11"/>
        <v>67072.300900000148</v>
      </c>
      <c r="N265" s="55">
        <v>5342559.3711000001</v>
      </c>
      <c r="O265" s="77">
        <f t="shared" si="12"/>
        <v>98.720255480562471</v>
      </c>
      <c r="P265" s="77">
        <f t="shared" si="13"/>
        <v>98.720255480562471</v>
      </c>
    </row>
    <row r="266" spans="1:16">
      <c r="D266" s="186" t="s">
        <v>358</v>
      </c>
      <c r="F266" s="79" t="s">
        <v>292</v>
      </c>
      <c r="G266" s="56">
        <v>1855118</v>
      </c>
      <c r="H266" s="56">
        <v>5333985.7</v>
      </c>
      <c r="I266" s="56">
        <v>5333985.7</v>
      </c>
      <c r="J266" s="56">
        <v>5333985.7</v>
      </c>
      <c r="K266" s="56">
        <v>5333985.7</v>
      </c>
      <c r="L266" s="56">
        <v>5332167.2741999999</v>
      </c>
      <c r="M266" s="56">
        <f t="shared" si="11"/>
        <v>67072.300900000148</v>
      </c>
      <c r="N266" s="56">
        <v>5265094.9732999997</v>
      </c>
      <c r="O266" s="80">
        <f t="shared" si="12"/>
        <v>98.708456854318143</v>
      </c>
      <c r="P266" s="80">
        <f t="shared" si="13"/>
        <v>98.708456854318143</v>
      </c>
    </row>
    <row r="267" spans="1:16">
      <c r="E267" s="78" t="s">
        <v>261</v>
      </c>
      <c r="F267" s="79" t="s">
        <v>325</v>
      </c>
      <c r="G267" s="56">
        <v>0</v>
      </c>
      <c r="H267" s="56">
        <v>0</v>
      </c>
      <c r="I267" s="56">
        <v>2342487</v>
      </c>
      <c r="J267" s="56">
        <v>2342487</v>
      </c>
      <c r="K267" s="56">
        <v>2342487</v>
      </c>
      <c r="L267" s="56">
        <v>2342486.9992</v>
      </c>
      <c r="M267" s="56">
        <f t="shared" si="11"/>
        <v>0</v>
      </c>
      <c r="N267" s="56">
        <v>2342486.9992</v>
      </c>
      <c r="O267" s="80">
        <f t="shared" si="12"/>
        <v>99.999999965848261</v>
      </c>
      <c r="P267" s="80">
        <f t="shared" si="13"/>
        <v>99.999999965848261</v>
      </c>
    </row>
    <row r="268" spans="1:16">
      <c r="E268" s="78" t="s">
        <v>326</v>
      </c>
      <c r="F268" s="79" t="s">
        <v>327</v>
      </c>
      <c r="G268" s="56">
        <v>0</v>
      </c>
      <c r="H268" s="56">
        <v>0</v>
      </c>
      <c r="I268" s="56">
        <v>2991498.7</v>
      </c>
      <c r="J268" s="56">
        <v>2991498.7</v>
      </c>
      <c r="K268" s="56">
        <v>2991498.7</v>
      </c>
      <c r="L268" s="56">
        <v>2989680.2749999999</v>
      </c>
      <c r="M268" s="56">
        <f t="shared" si="11"/>
        <v>67072.300899999682</v>
      </c>
      <c r="N268" s="56">
        <v>2922607.9741000002</v>
      </c>
      <c r="O268" s="80">
        <f t="shared" si="12"/>
        <v>97.69711663588555</v>
      </c>
      <c r="P268" s="80">
        <f t="shared" si="13"/>
        <v>97.69711663588555</v>
      </c>
    </row>
    <row r="269" spans="1:16" ht="31.5">
      <c r="D269" s="186" t="s">
        <v>398</v>
      </c>
      <c r="F269" s="79" t="s">
        <v>1489</v>
      </c>
      <c r="G269" s="56">
        <v>8898</v>
      </c>
      <c r="H269" s="56">
        <v>46431.8</v>
      </c>
      <c r="I269" s="56">
        <v>77831.100000000006</v>
      </c>
      <c r="J269" s="56">
        <v>77831.100000000006</v>
      </c>
      <c r="K269" s="56">
        <v>77831.100000000006</v>
      </c>
      <c r="L269" s="56">
        <v>77464.397800000006</v>
      </c>
      <c r="M269" s="56">
        <f t="shared" si="11"/>
        <v>0</v>
      </c>
      <c r="N269" s="56">
        <v>77464.397800000006</v>
      </c>
      <c r="O269" s="80">
        <f t="shared" si="12"/>
        <v>99.528848750692205</v>
      </c>
      <c r="P269" s="80">
        <f t="shared" si="13"/>
        <v>99.528848750692205</v>
      </c>
    </row>
    <row r="270" spans="1:16">
      <c r="E270" s="78" t="s">
        <v>261</v>
      </c>
      <c r="F270" s="79" t="s">
        <v>325</v>
      </c>
      <c r="G270" s="56">
        <v>0</v>
      </c>
      <c r="H270" s="56">
        <v>0</v>
      </c>
      <c r="I270" s="56">
        <v>41474</v>
      </c>
      <c r="J270" s="56">
        <v>41474</v>
      </c>
      <c r="K270" s="56">
        <v>41474</v>
      </c>
      <c r="L270" s="56">
        <v>41474</v>
      </c>
      <c r="M270" s="56">
        <f t="shared" si="11"/>
        <v>0</v>
      </c>
      <c r="N270" s="56">
        <v>41474</v>
      </c>
      <c r="O270" s="80">
        <f t="shared" si="12"/>
        <v>100</v>
      </c>
      <c r="P270" s="80">
        <f t="shared" si="13"/>
        <v>100</v>
      </c>
    </row>
    <row r="271" spans="1:16">
      <c r="E271" s="78" t="s">
        <v>326</v>
      </c>
      <c r="F271" s="79" t="s">
        <v>327</v>
      </c>
      <c r="G271" s="56">
        <v>0</v>
      </c>
      <c r="H271" s="56">
        <v>0</v>
      </c>
      <c r="I271" s="56">
        <v>36357.1</v>
      </c>
      <c r="J271" s="56">
        <v>36357.1</v>
      </c>
      <c r="K271" s="56">
        <v>36357.1</v>
      </c>
      <c r="L271" s="56">
        <v>35990.397830000002</v>
      </c>
      <c r="M271" s="56">
        <f t="shared" si="11"/>
        <v>0</v>
      </c>
      <c r="N271" s="56">
        <v>35990.397830000002</v>
      </c>
      <c r="O271" s="80">
        <f t="shared" si="12"/>
        <v>98.991387734445283</v>
      </c>
      <c r="P271" s="80">
        <f t="shared" si="13"/>
        <v>98.991387734445283</v>
      </c>
    </row>
    <row r="272" spans="1:16" ht="22.5">
      <c r="A272" s="76"/>
      <c r="B272" s="76"/>
      <c r="C272" s="76" t="s">
        <v>328</v>
      </c>
      <c r="D272" s="76"/>
      <c r="E272" s="76"/>
      <c r="F272" s="87" t="s">
        <v>329</v>
      </c>
      <c r="G272" s="55">
        <v>7049612</v>
      </c>
      <c r="H272" s="55">
        <v>6135415.0999999996</v>
      </c>
      <c r="I272" s="55">
        <v>6273153</v>
      </c>
      <c r="J272" s="55">
        <v>6273153</v>
      </c>
      <c r="K272" s="55">
        <v>6273153</v>
      </c>
      <c r="L272" s="55">
        <v>6245826.4923999999</v>
      </c>
      <c r="M272" s="55">
        <f t="shared" si="11"/>
        <v>6196.3429999994114</v>
      </c>
      <c r="N272" s="55">
        <v>6239630.1494000005</v>
      </c>
      <c r="O272" s="77">
        <f t="shared" si="12"/>
        <v>99.4656140126026</v>
      </c>
      <c r="P272" s="77">
        <f t="shared" si="13"/>
        <v>99.4656140126026</v>
      </c>
    </row>
    <row r="273" spans="4:16" ht="21">
      <c r="D273" s="186" t="s">
        <v>374</v>
      </c>
      <c r="F273" s="79" t="s">
        <v>375</v>
      </c>
      <c r="G273" s="56">
        <v>252696</v>
      </c>
      <c r="H273" s="56">
        <v>236588</v>
      </c>
      <c r="I273" s="56">
        <v>236588</v>
      </c>
      <c r="J273" s="56">
        <v>236588</v>
      </c>
      <c r="K273" s="56">
        <v>236588</v>
      </c>
      <c r="L273" s="56">
        <v>235163.57769999999</v>
      </c>
      <c r="M273" s="56">
        <f t="shared" si="11"/>
        <v>1.1999999987892807E-3</v>
      </c>
      <c r="N273" s="56">
        <v>235163.5765</v>
      </c>
      <c r="O273" s="80">
        <f t="shared" si="12"/>
        <v>99.397930791079844</v>
      </c>
      <c r="P273" s="80">
        <f t="shared" si="13"/>
        <v>99.397930791079844</v>
      </c>
    </row>
    <row r="274" spans="4:16">
      <c r="E274" s="78" t="s">
        <v>261</v>
      </c>
      <c r="F274" s="79" t="s">
        <v>325</v>
      </c>
      <c r="G274" s="56">
        <v>0</v>
      </c>
      <c r="H274" s="56">
        <v>0</v>
      </c>
      <c r="I274" s="56">
        <v>523</v>
      </c>
      <c r="J274" s="56">
        <v>523</v>
      </c>
      <c r="K274" s="56">
        <v>523</v>
      </c>
      <c r="L274" s="56">
        <v>468.03530000000001</v>
      </c>
      <c r="M274" s="56">
        <f t="shared" si="11"/>
        <v>0</v>
      </c>
      <c r="N274" s="56">
        <v>468.03530000000001</v>
      </c>
      <c r="O274" s="80">
        <f t="shared" si="12"/>
        <v>89.490497131931164</v>
      </c>
      <c r="P274" s="80">
        <f t="shared" si="13"/>
        <v>89.490497131931164</v>
      </c>
    </row>
    <row r="275" spans="4:16">
      <c r="E275" s="78" t="s">
        <v>326</v>
      </c>
      <c r="F275" s="79" t="s">
        <v>327</v>
      </c>
      <c r="G275" s="56">
        <v>0</v>
      </c>
      <c r="H275" s="56">
        <v>0</v>
      </c>
      <c r="I275" s="56">
        <v>236065</v>
      </c>
      <c r="J275" s="56">
        <v>236065</v>
      </c>
      <c r="K275" s="56">
        <v>236065</v>
      </c>
      <c r="L275" s="56">
        <v>234695.54240000001</v>
      </c>
      <c r="M275" s="56">
        <f t="shared" si="11"/>
        <v>1.0999999940395355E-3</v>
      </c>
      <c r="N275" s="56">
        <v>234695.54130000001</v>
      </c>
      <c r="O275" s="80">
        <f t="shared" si="12"/>
        <v>99.419880668459953</v>
      </c>
      <c r="P275" s="80">
        <f t="shared" si="13"/>
        <v>99.419880668459953</v>
      </c>
    </row>
    <row r="276" spans="4:16">
      <c r="D276" s="186" t="s">
        <v>241</v>
      </c>
      <c r="F276" s="79" t="s">
        <v>376</v>
      </c>
      <c r="G276" s="56">
        <v>376003</v>
      </c>
      <c r="H276" s="56">
        <v>365718</v>
      </c>
      <c r="I276" s="56">
        <v>365718</v>
      </c>
      <c r="J276" s="56">
        <v>365718</v>
      </c>
      <c r="K276" s="56">
        <v>365718</v>
      </c>
      <c r="L276" s="56">
        <v>365701.66129999998</v>
      </c>
      <c r="M276" s="56">
        <f t="shared" si="11"/>
        <v>0</v>
      </c>
      <c r="N276" s="56">
        <v>365701.66129999998</v>
      </c>
      <c r="O276" s="80">
        <f t="shared" si="12"/>
        <v>99.995532432092489</v>
      </c>
      <c r="P276" s="80">
        <f t="shared" si="13"/>
        <v>99.995532432092489</v>
      </c>
    </row>
    <row r="277" spans="4:16">
      <c r="E277" s="78" t="s">
        <v>261</v>
      </c>
      <c r="F277" s="79" t="s">
        <v>325</v>
      </c>
      <c r="G277" s="56">
        <v>0</v>
      </c>
      <c r="H277" s="56">
        <v>0</v>
      </c>
      <c r="I277" s="56">
        <v>68353</v>
      </c>
      <c r="J277" s="56">
        <v>68353</v>
      </c>
      <c r="K277" s="56">
        <v>68353</v>
      </c>
      <c r="L277" s="56">
        <v>68336.661300000007</v>
      </c>
      <c r="M277" s="56">
        <f t="shared" si="11"/>
        <v>0</v>
      </c>
      <c r="N277" s="56">
        <v>68336.661300000007</v>
      </c>
      <c r="O277" s="80">
        <f t="shared" si="12"/>
        <v>99.976096586835993</v>
      </c>
      <c r="P277" s="80">
        <f t="shared" si="13"/>
        <v>99.976096586835993</v>
      </c>
    </row>
    <row r="278" spans="4:16">
      <c r="E278" s="78" t="s">
        <v>326</v>
      </c>
      <c r="F278" s="79" t="s">
        <v>327</v>
      </c>
      <c r="G278" s="56">
        <v>0</v>
      </c>
      <c r="H278" s="56">
        <v>0</v>
      </c>
      <c r="I278" s="56">
        <v>297365</v>
      </c>
      <c r="J278" s="56">
        <v>297365</v>
      </c>
      <c r="K278" s="56">
        <v>297365</v>
      </c>
      <c r="L278" s="56">
        <v>297365</v>
      </c>
      <c r="M278" s="56">
        <f t="shared" si="11"/>
        <v>0</v>
      </c>
      <c r="N278" s="56">
        <v>297365</v>
      </c>
      <c r="O278" s="80">
        <f t="shared" si="12"/>
        <v>100</v>
      </c>
      <c r="P278" s="80">
        <f t="shared" si="13"/>
        <v>100</v>
      </c>
    </row>
    <row r="279" spans="4:16">
      <c r="D279" s="186" t="s">
        <v>297</v>
      </c>
      <c r="F279" s="79" t="s">
        <v>377</v>
      </c>
      <c r="G279" s="56">
        <v>478412</v>
      </c>
      <c r="H279" s="56">
        <v>477289.7</v>
      </c>
      <c r="I279" s="56">
        <v>477289.7</v>
      </c>
      <c r="J279" s="56">
        <v>477289.7</v>
      </c>
      <c r="K279" s="56">
        <v>477289.7</v>
      </c>
      <c r="L279" s="56">
        <v>477289.7</v>
      </c>
      <c r="M279" s="56">
        <f t="shared" si="11"/>
        <v>0</v>
      </c>
      <c r="N279" s="56">
        <v>477289.7</v>
      </c>
      <c r="O279" s="80">
        <f t="shared" si="12"/>
        <v>100</v>
      </c>
      <c r="P279" s="80">
        <f t="shared" si="13"/>
        <v>100</v>
      </c>
    </row>
    <row r="280" spans="4:16">
      <c r="E280" s="78" t="s">
        <v>261</v>
      </c>
      <c r="F280" s="79" t="s">
        <v>325</v>
      </c>
      <c r="G280" s="56">
        <v>0</v>
      </c>
      <c r="H280" s="56">
        <v>0</v>
      </c>
      <c r="I280" s="56">
        <v>12087</v>
      </c>
      <c r="J280" s="56">
        <v>12087</v>
      </c>
      <c r="K280" s="56">
        <v>12087</v>
      </c>
      <c r="L280" s="56">
        <v>12087</v>
      </c>
      <c r="M280" s="56">
        <f t="shared" si="11"/>
        <v>0</v>
      </c>
      <c r="N280" s="56">
        <v>12087</v>
      </c>
      <c r="O280" s="80">
        <f t="shared" si="12"/>
        <v>100</v>
      </c>
      <c r="P280" s="80">
        <f t="shared" si="13"/>
        <v>100</v>
      </c>
    </row>
    <row r="281" spans="4:16">
      <c r="E281" s="78" t="s">
        <v>326</v>
      </c>
      <c r="F281" s="79" t="s">
        <v>327</v>
      </c>
      <c r="G281" s="56">
        <v>0</v>
      </c>
      <c r="H281" s="56">
        <v>0</v>
      </c>
      <c r="I281" s="56">
        <v>465202.7</v>
      </c>
      <c r="J281" s="56">
        <v>465202.7</v>
      </c>
      <c r="K281" s="56">
        <v>465202.7</v>
      </c>
      <c r="L281" s="56">
        <v>465202.7</v>
      </c>
      <c r="M281" s="56">
        <f t="shared" si="11"/>
        <v>0</v>
      </c>
      <c r="N281" s="56">
        <v>465202.7</v>
      </c>
      <c r="O281" s="80">
        <f t="shared" si="12"/>
        <v>100</v>
      </c>
      <c r="P281" s="80">
        <f t="shared" si="13"/>
        <v>100</v>
      </c>
    </row>
    <row r="282" spans="4:16" ht="21">
      <c r="D282" s="186" t="s">
        <v>299</v>
      </c>
      <c r="F282" s="79" t="s">
        <v>378</v>
      </c>
      <c r="G282" s="56">
        <v>7461</v>
      </c>
      <c r="H282" s="56">
        <v>5622</v>
      </c>
      <c r="I282" s="56">
        <v>5622</v>
      </c>
      <c r="J282" s="56">
        <v>5622</v>
      </c>
      <c r="K282" s="56">
        <v>5622</v>
      </c>
      <c r="L282" s="56">
        <v>5613.3980000000001</v>
      </c>
      <c r="M282" s="56">
        <f t="shared" si="11"/>
        <v>0</v>
      </c>
      <c r="N282" s="56">
        <v>5613.3980000000001</v>
      </c>
      <c r="O282" s="80">
        <f t="shared" si="12"/>
        <v>99.846993952330138</v>
      </c>
      <c r="P282" s="80">
        <f t="shared" si="13"/>
        <v>99.846993952330138</v>
      </c>
    </row>
    <row r="283" spans="4:16">
      <c r="D283" s="186" t="s">
        <v>279</v>
      </c>
      <c r="F283" s="79" t="s">
        <v>379</v>
      </c>
      <c r="G283" s="56">
        <v>137497</v>
      </c>
      <c r="H283" s="56">
        <v>144497</v>
      </c>
      <c r="I283" s="56">
        <v>144497</v>
      </c>
      <c r="J283" s="56">
        <v>144497</v>
      </c>
      <c r="K283" s="56">
        <v>144497</v>
      </c>
      <c r="L283" s="56">
        <v>144497</v>
      </c>
      <c r="M283" s="56">
        <f t="shared" si="11"/>
        <v>0</v>
      </c>
      <c r="N283" s="56">
        <v>144497</v>
      </c>
      <c r="O283" s="80">
        <f t="shared" si="12"/>
        <v>100</v>
      </c>
      <c r="P283" s="80">
        <f t="shared" si="13"/>
        <v>100</v>
      </c>
    </row>
    <row r="284" spans="4:16">
      <c r="E284" s="78" t="s">
        <v>326</v>
      </c>
      <c r="F284" s="79" t="s">
        <v>327</v>
      </c>
      <c r="G284" s="56">
        <v>0</v>
      </c>
      <c r="H284" s="56">
        <v>0</v>
      </c>
      <c r="I284" s="56">
        <v>144497</v>
      </c>
      <c r="J284" s="56">
        <v>144497</v>
      </c>
      <c r="K284" s="56">
        <v>144497</v>
      </c>
      <c r="L284" s="56">
        <v>144497</v>
      </c>
      <c r="M284" s="56">
        <f t="shared" si="11"/>
        <v>0</v>
      </c>
      <c r="N284" s="56">
        <v>144497</v>
      </c>
      <c r="O284" s="80">
        <f t="shared" si="12"/>
        <v>100</v>
      </c>
      <c r="P284" s="80">
        <f t="shared" si="13"/>
        <v>100</v>
      </c>
    </row>
    <row r="285" spans="4:16">
      <c r="D285" s="186" t="s">
        <v>381</v>
      </c>
      <c r="F285" s="79" t="s">
        <v>382</v>
      </c>
      <c r="G285" s="56">
        <v>94205</v>
      </c>
      <c r="H285" s="56">
        <v>155368</v>
      </c>
      <c r="I285" s="56">
        <v>155368</v>
      </c>
      <c r="J285" s="56">
        <v>155368</v>
      </c>
      <c r="K285" s="56">
        <v>155368</v>
      </c>
      <c r="L285" s="56">
        <v>155368</v>
      </c>
      <c r="M285" s="56">
        <f t="shared" si="11"/>
        <v>0</v>
      </c>
      <c r="N285" s="56">
        <v>155368</v>
      </c>
      <c r="O285" s="80">
        <f t="shared" si="12"/>
        <v>100</v>
      </c>
      <c r="P285" s="80">
        <f t="shared" si="13"/>
        <v>100</v>
      </c>
    </row>
    <row r="286" spans="4:16">
      <c r="E286" s="78" t="s">
        <v>326</v>
      </c>
      <c r="F286" s="79" t="s">
        <v>327</v>
      </c>
      <c r="G286" s="56">
        <v>0</v>
      </c>
      <c r="H286" s="56">
        <v>0</v>
      </c>
      <c r="I286" s="56">
        <v>155368</v>
      </c>
      <c r="J286" s="56">
        <v>155368</v>
      </c>
      <c r="K286" s="56">
        <v>155368</v>
      </c>
      <c r="L286" s="56">
        <v>155368</v>
      </c>
      <c r="M286" s="56">
        <f t="shared" si="11"/>
        <v>0</v>
      </c>
      <c r="N286" s="56">
        <v>155368</v>
      </c>
      <c r="O286" s="80">
        <f t="shared" si="12"/>
        <v>100</v>
      </c>
      <c r="P286" s="80">
        <f t="shared" si="13"/>
        <v>100</v>
      </c>
    </row>
    <row r="287" spans="4:16">
      <c r="D287" s="186" t="s">
        <v>383</v>
      </c>
      <c r="F287" s="79" t="s">
        <v>401</v>
      </c>
      <c r="G287" s="56">
        <v>8171</v>
      </c>
      <c r="H287" s="56">
        <v>4624</v>
      </c>
      <c r="I287" s="56">
        <v>4624</v>
      </c>
      <c r="J287" s="56">
        <v>4624</v>
      </c>
      <c r="K287" s="56">
        <v>4624</v>
      </c>
      <c r="L287" s="56">
        <v>4546.5474000000004</v>
      </c>
      <c r="M287" s="56">
        <f t="shared" si="11"/>
        <v>0</v>
      </c>
      <c r="N287" s="56">
        <v>4546.5474000000004</v>
      </c>
      <c r="O287" s="80">
        <f t="shared" si="12"/>
        <v>98.324987024221471</v>
      </c>
      <c r="P287" s="80">
        <f t="shared" si="13"/>
        <v>98.324987024221471</v>
      </c>
    </row>
    <row r="288" spans="4:16">
      <c r="D288" s="186" t="s">
        <v>385</v>
      </c>
      <c r="F288" s="79" t="s">
        <v>402</v>
      </c>
      <c r="G288" s="56">
        <v>5695167</v>
      </c>
      <c r="H288" s="56">
        <v>4745708.4000000004</v>
      </c>
      <c r="I288" s="56">
        <v>4745708.4000000004</v>
      </c>
      <c r="J288" s="56">
        <v>4745708.4000000004</v>
      </c>
      <c r="K288" s="56">
        <v>4745708.4000000004</v>
      </c>
      <c r="L288" s="56">
        <v>4719908.773</v>
      </c>
      <c r="M288" s="56">
        <f t="shared" si="11"/>
        <v>6196.3417999995872</v>
      </c>
      <c r="N288" s="56">
        <v>4713712.4312000005</v>
      </c>
      <c r="O288" s="80">
        <f t="shared" si="12"/>
        <v>99.325791513022594</v>
      </c>
      <c r="P288" s="80">
        <f t="shared" si="13"/>
        <v>99.325791513022594</v>
      </c>
    </row>
    <row r="289" spans="1:16">
      <c r="E289" s="78" t="s">
        <v>326</v>
      </c>
      <c r="F289" s="79" t="s">
        <v>327</v>
      </c>
      <c r="G289" s="56">
        <v>0</v>
      </c>
      <c r="H289" s="56">
        <v>0</v>
      </c>
      <c r="I289" s="56">
        <v>4745708.4000000004</v>
      </c>
      <c r="J289" s="56">
        <v>4745708.4000000004</v>
      </c>
      <c r="K289" s="56">
        <v>4745708.4000000004</v>
      </c>
      <c r="L289" s="56">
        <v>4719908.7729000002</v>
      </c>
      <c r="M289" s="56">
        <f t="shared" ref="M289:M303" si="14">L289-N289</f>
        <v>6196.3418000005186</v>
      </c>
      <c r="N289" s="56">
        <v>4713712.4310999997</v>
      </c>
      <c r="O289" s="80">
        <f t="shared" si="12"/>
        <v>99.325791510915408</v>
      </c>
      <c r="P289" s="80">
        <f t="shared" si="13"/>
        <v>99.325791510915408</v>
      </c>
    </row>
    <row r="290" spans="1:16" ht="21">
      <c r="D290" s="186" t="s">
        <v>394</v>
      </c>
      <c r="F290" s="79" t="s">
        <v>395</v>
      </c>
      <c r="G290" s="56">
        <v>0</v>
      </c>
      <c r="H290" s="56">
        <v>0</v>
      </c>
      <c r="I290" s="56">
        <v>137737.9</v>
      </c>
      <c r="J290" s="56">
        <v>137737.9</v>
      </c>
      <c r="K290" s="56">
        <v>137737.9</v>
      </c>
      <c r="L290" s="56">
        <v>137737.83499999999</v>
      </c>
      <c r="M290" s="56">
        <f t="shared" si="14"/>
        <v>0</v>
      </c>
      <c r="N290" s="56">
        <v>137737.83499999999</v>
      </c>
      <c r="O290" s="80">
        <f t="shared" si="12"/>
        <v>99.999952808921861</v>
      </c>
      <c r="P290" s="80">
        <f t="shared" si="13"/>
        <v>99.999952808921861</v>
      </c>
    </row>
    <row r="291" spans="1:16" ht="22.5">
      <c r="A291" s="76"/>
      <c r="B291" s="76"/>
      <c r="C291" s="76" t="s">
        <v>403</v>
      </c>
      <c r="D291" s="76"/>
      <c r="E291" s="76"/>
      <c r="F291" s="105" t="s">
        <v>404</v>
      </c>
      <c r="G291" s="55">
        <v>16436484</v>
      </c>
      <c r="H291" s="55">
        <v>15832637.199999999</v>
      </c>
      <c r="I291" s="55">
        <v>15832637.199999999</v>
      </c>
      <c r="J291" s="55">
        <v>15832637.199999999</v>
      </c>
      <c r="K291" s="55">
        <v>15832637.199999999</v>
      </c>
      <c r="L291" s="55">
        <v>15805148.1623</v>
      </c>
      <c r="M291" s="55">
        <f t="shared" si="14"/>
        <v>268963.4282000009</v>
      </c>
      <c r="N291" s="55">
        <v>15536184.734099999</v>
      </c>
      <c r="O291" s="77">
        <f t="shared" si="12"/>
        <v>98.127586313289612</v>
      </c>
      <c r="P291" s="77">
        <f t="shared" si="13"/>
        <v>98.127586313289612</v>
      </c>
    </row>
    <row r="292" spans="1:16">
      <c r="D292" s="186" t="s">
        <v>253</v>
      </c>
      <c r="F292" s="79" t="s">
        <v>405</v>
      </c>
      <c r="G292" s="56">
        <v>169745</v>
      </c>
      <c r="H292" s="56">
        <v>180370.8</v>
      </c>
      <c r="I292" s="56">
        <v>180370.8</v>
      </c>
      <c r="J292" s="56">
        <v>180370.8</v>
      </c>
      <c r="K292" s="56">
        <v>180370.8</v>
      </c>
      <c r="L292" s="56">
        <v>180370.55600000001</v>
      </c>
      <c r="M292" s="56">
        <f t="shared" si="14"/>
        <v>6000</v>
      </c>
      <c r="N292" s="56">
        <v>174370.55600000001</v>
      </c>
      <c r="O292" s="80">
        <f t="shared" si="12"/>
        <v>96.673383940194327</v>
      </c>
      <c r="P292" s="80">
        <f t="shared" si="13"/>
        <v>96.673383940194327</v>
      </c>
    </row>
    <row r="293" spans="1:16">
      <c r="E293" s="78" t="s">
        <v>261</v>
      </c>
      <c r="F293" s="79" t="s">
        <v>325</v>
      </c>
      <c r="G293" s="56">
        <v>0</v>
      </c>
      <c r="H293" s="56">
        <v>0</v>
      </c>
      <c r="I293" s="56">
        <v>134195</v>
      </c>
      <c r="J293" s="56">
        <v>134195</v>
      </c>
      <c r="K293" s="56">
        <v>134195</v>
      </c>
      <c r="L293" s="56">
        <v>134195</v>
      </c>
      <c r="M293" s="56">
        <f t="shared" si="14"/>
        <v>0</v>
      </c>
      <c r="N293" s="56">
        <v>134195</v>
      </c>
      <c r="O293" s="80">
        <f t="shared" si="12"/>
        <v>100</v>
      </c>
      <c r="P293" s="80">
        <f t="shared" si="13"/>
        <v>100</v>
      </c>
    </row>
    <row r="294" spans="1:16">
      <c r="E294" s="78" t="s">
        <v>326</v>
      </c>
      <c r="F294" s="79" t="s">
        <v>327</v>
      </c>
      <c r="G294" s="56">
        <v>0</v>
      </c>
      <c r="H294" s="56">
        <v>0</v>
      </c>
      <c r="I294" s="56">
        <v>46175.8</v>
      </c>
      <c r="J294" s="56">
        <v>46175.8</v>
      </c>
      <c r="K294" s="56">
        <v>46175.8</v>
      </c>
      <c r="L294" s="56">
        <v>46175.555999999997</v>
      </c>
      <c r="M294" s="56">
        <f t="shared" si="14"/>
        <v>6000</v>
      </c>
      <c r="N294" s="56">
        <v>40175.555999999997</v>
      </c>
      <c r="O294" s="80">
        <f t="shared" si="12"/>
        <v>87.005652311383869</v>
      </c>
      <c r="P294" s="80">
        <f t="shared" si="13"/>
        <v>87.005652311383869</v>
      </c>
    </row>
    <row r="295" spans="1:16">
      <c r="D295" s="186" t="s">
        <v>255</v>
      </c>
      <c r="F295" s="79" t="s">
        <v>406</v>
      </c>
      <c r="G295" s="56">
        <v>473750</v>
      </c>
      <c r="H295" s="56">
        <v>423270</v>
      </c>
      <c r="I295" s="56">
        <v>423270</v>
      </c>
      <c r="J295" s="56">
        <v>423270</v>
      </c>
      <c r="K295" s="56">
        <v>423270</v>
      </c>
      <c r="L295" s="56">
        <v>398268.05099999998</v>
      </c>
      <c r="M295" s="56">
        <f t="shared" si="14"/>
        <v>0</v>
      </c>
      <c r="N295" s="56">
        <v>398268.05099999998</v>
      </c>
      <c r="O295" s="80">
        <f t="shared" si="12"/>
        <v>94.093144092423273</v>
      </c>
      <c r="P295" s="80">
        <f t="shared" si="13"/>
        <v>94.093144092423273</v>
      </c>
    </row>
    <row r="296" spans="1:16">
      <c r="E296" s="78" t="s">
        <v>261</v>
      </c>
      <c r="F296" s="79" t="s">
        <v>325</v>
      </c>
      <c r="G296" s="56">
        <v>0</v>
      </c>
      <c r="H296" s="56">
        <v>0</v>
      </c>
      <c r="I296" s="56">
        <v>398269</v>
      </c>
      <c r="J296" s="56">
        <v>398269</v>
      </c>
      <c r="K296" s="56">
        <v>398269</v>
      </c>
      <c r="L296" s="56">
        <v>398268.05099999998</v>
      </c>
      <c r="M296" s="56">
        <f t="shared" si="14"/>
        <v>0</v>
      </c>
      <c r="N296" s="56">
        <v>398268.05099999998</v>
      </c>
      <c r="O296" s="80">
        <f t="shared" si="12"/>
        <v>99.999761718838272</v>
      </c>
      <c r="P296" s="80">
        <f t="shared" si="13"/>
        <v>99.999761718838272</v>
      </c>
    </row>
    <row r="297" spans="1:16">
      <c r="E297" s="78" t="s">
        <v>326</v>
      </c>
      <c r="F297" s="79" t="s">
        <v>327</v>
      </c>
      <c r="G297" s="56">
        <v>0</v>
      </c>
      <c r="H297" s="56">
        <v>0</v>
      </c>
      <c r="I297" s="56">
        <v>25001</v>
      </c>
      <c r="J297" s="56">
        <v>25001</v>
      </c>
      <c r="K297" s="56">
        <v>25001</v>
      </c>
      <c r="L297" s="56">
        <v>0</v>
      </c>
      <c r="M297" s="56">
        <f t="shared" si="14"/>
        <v>0</v>
      </c>
      <c r="N297" s="56">
        <v>0</v>
      </c>
      <c r="O297" s="80">
        <f t="shared" si="12"/>
        <v>0</v>
      </c>
      <c r="P297" s="80">
        <f t="shared" si="13"/>
        <v>0</v>
      </c>
    </row>
    <row r="298" spans="1:16">
      <c r="D298" s="186" t="s">
        <v>358</v>
      </c>
      <c r="F298" s="79" t="s">
        <v>292</v>
      </c>
      <c r="G298" s="56">
        <v>15792989</v>
      </c>
      <c r="H298" s="56">
        <v>15228996.4</v>
      </c>
      <c r="I298" s="56">
        <v>15228996.4</v>
      </c>
      <c r="J298" s="56">
        <v>15228996.4</v>
      </c>
      <c r="K298" s="56">
        <v>15228996.4</v>
      </c>
      <c r="L298" s="56">
        <v>15226509.555299999</v>
      </c>
      <c r="M298" s="56">
        <f t="shared" si="14"/>
        <v>262963.42819999903</v>
      </c>
      <c r="N298" s="56">
        <v>14963546.1271</v>
      </c>
      <c r="O298" s="80">
        <f t="shared" si="12"/>
        <v>98.25694178442383</v>
      </c>
      <c r="P298" s="80">
        <f t="shared" si="13"/>
        <v>98.25694178442383</v>
      </c>
    </row>
    <row r="299" spans="1:16">
      <c r="E299" s="78" t="s">
        <v>261</v>
      </c>
      <c r="F299" s="79" t="s">
        <v>325</v>
      </c>
      <c r="G299" s="56">
        <v>0</v>
      </c>
      <c r="H299" s="56">
        <v>0</v>
      </c>
      <c r="I299" s="56">
        <v>12028783</v>
      </c>
      <c r="J299" s="56">
        <v>12028783</v>
      </c>
      <c r="K299" s="56">
        <v>12028783</v>
      </c>
      <c r="L299" s="56">
        <v>12028781.825999999</v>
      </c>
      <c r="M299" s="56">
        <f t="shared" si="14"/>
        <v>0</v>
      </c>
      <c r="N299" s="56">
        <v>12028781.825999999</v>
      </c>
      <c r="O299" s="80">
        <f t="shared" si="12"/>
        <v>99.999990240076656</v>
      </c>
      <c r="P299" s="80">
        <f t="shared" si="13"/>
        <v>99.999990240076656</v>
      </c>
    </row>
    <row r="300" spans="1:16">
      <c r="E300" s="78" t="s">
        <v>326</v>
      </c>
      <c r="F300" s="79" t="s">
        <v>327</v>
      </c>
      <c r="G300" s="56">
        <v>0</v>
      </c>
      <c r="H300" s="56">
        <v>0</v>
      </c>
      <c r="I300" s="56">
        <v>3200213.4</v>
      </c>
      <c r="J300" s="56">
        <v>3200213.4</v>
      </c>
      <c r="K300" s="56">
        <v>3200213.4</v>
      </c>
      <c r="L300" s="56">
        <v>3197727.7292999998</v>
      </c>
      <c r="M300" s="56">
        <f t="shared" si="14"/>
        <v>262963.42819999997</v>
      </c>
      <c r="N300" s="56">
        <v>2934764.3010999998</v>
      </c>
      <c r="O300" s="80">
        <f t="shared" si="12"/>
        <v>91.705268814260947</v>
      </c>
      <c r="P300" s="80">
        <f t="shared" si="13"/>
        <v>91.705268814260947</v>
      </c>
    </row>
    <row r="301" spans="1:16">
      <c r="A301" s="76"/>
      <c r="B301" s="76"/>
      <c r="C301" s="76" t="s">
        <v>282</v>
      </c>
      <c r="D301" s="76"/>
      <c r="E301" s="76"/>
      <c r="F301" s="88" t="s">
        <v>3</v>
      </c>
      <c r="G301" s="55">
        <v>829391</v>
      </c>
      <c r="H301" s="55">
        <v>829391</v>
      </c>
      <c r="I301" s="55">
        <v>829391</v>
      </c>
      <c r="J301" s="55">
        <v>829391</v>
      </c>
      <c r="K301" s="55">
        <v>829391</v>
      </c>
      <c r="L301" s="55">
        <v>829285.15</v>
      </c>
      <c r="M301" s="55">
        <f t="shared" si="14"/>
        <v>0</v>
      </c>
      <c r="N301" s="55">
        <v>829285.15</v>
      </c>
      <c r="O301" s="77">
        <f t="shared" si="12"/>
        <v>99.987237623750445</v>
      </c>
      <c r="P301" s="77">
        <f t="shared" si="13"/>
        <v>99.987237623750445</v>
      </c>
    </row>
    <row r="302" spans="1:16">
      <c r="D302" s="186" t="s">
        <v>318</v>
      </c>
      <c r="F302" s="79" t="s">
        <v>319</v>
      </c>
      <c r="G302" s="56">
        <v>87672</v>
      </c>
      <c r="H302" s="56">
        <v>87672</v>
      </c>
      <c r="I302" s="56">
        <v>87672</v>
      </c>
      <c r="J302" s="56">
        <v>87672</v>
      </c>
      <c r="K302" s="56">
        <v>87672</v>
      </c>
      <c r="L302" s="56">
        <v>87672</v>
      </c>
      <c r="M302" s="56">
        <f t="shared" si="14"/>
        <v>0</v>
      </c>
      <c r="N302" s="56">
        <v>87672</v>
      </c>
      <c r="O302" s="80">
        <f t="shared" si="12"/>
        <v>100</v>
      </c>
      <c r="P302" s="80">
        <f t="shared" si="13"/>
        <v>100</v>
      </c>
    </row>
    <row r="303" spans="1:16" ht="21">
      <c r="D303" s="186" t="s">
        <v>299</v>
      </c>
      <c r="F303" s="79" t="s">
        <v>320</v>
      </c>
      <c r="G303" s="56">
        <v>741719</v>
      </c>
      <c r="H303" s="56">
        <v>741719</v>
      </c>
      <c r="I303" s="56">
        <v>741719</v>
      </c>
      <c r="J303" s="56">
        <v>741719</v>
      </c>
      <c r="K303" s="56">
        <v>741719</v>
      </c>
      <c r="L303" s="56">
        <v>741613.15</v>
      </c>
      <c r="M303" s="56">
        <f t="shared" si="14"/>
        <v>0</v>
      </c>
      <c r="N303" s="56">
        <v>741613.15</v>
      </c>
      <c r="O303" s="80">
        <f t="shared" si="12"/>
        <v>99.985729096868226</v>
      </c>
      <c r="P303" s="80">
        <f t="shared" si="13"/>
        <v>99.985729096868226</v>
      </c>
    </row>
    <row r="304" spans="1:16">
      <c r="A304" s="49"/>
      <c r="B304" s="49"/>
      <c r="C304" s="49"/>
      <c r="D304" s="49"/>
      <c r="E304" s="49"/>
    </row>
    <row r="305" spans="1:5">
      <c r="A305" s="49"/>
      <c r="B305" s="49"/>
      <c r="C305" s="49"/>
      <c r="D305" s="49"/>
      <c r="E305" s="49"/>
    </row>
    <row r="306" spans="1:5">
      <c r="A306" s="49"/>
      <c r="B306" s="49"/>
      <c r="C306" s="49"/>
      <c r="D306" s="49"/>
      <c r="E306" s="49"/>
    </row>
    <row r="307" spans="1:5">
      <c r="A307" s="49"/>
      <c r="B307" s="49"/>
      <c r="C307" s="49"/>
      <c r="D307" s="49"/>
      <c r="E307" s="49"/>
    </row>
    <row r="308" spans="1:5">
      <c r="A308" s="49"/>
      <c r="B308" s="49"/>
      <c r="C308" s="49"/>
      <c r="D308" s="49"/>
      <c r="E308" s="49"/>
    </row>
    <row r="309" spans="1:5">
      <c r="A309" s="49"/>
      <c r="B309" s="49"/>
      <c r="C309" s="49"/>
      <c r="D309" s="49"/>
      <c r="E309" s="49"/>
    </row>
    <row r="310" spans="1:5">
      <c r="A310" s="49"/>
      <c r="B310" s="49"/>
      <c r="C310" s="49"/>
      <c r="D310" s="49"/>
      <c r="E310" s="49"/>
    </row>
    <row r="311" spans="1:5">
      <c r="A311" s="49"/>
      <c r="B311" s="49"/>
      <c r="C311" s="49"/>
      <c r="D311" s="49"/>
      <c r="E311" s="49"/>
    </row>
    <row r="312" spans="1:5">
      <c r="A312" s="49"/>
      <c r="B312" s="49"/>
      <c r="C312" s="49"/>
      <c r="D312" s="49"/>
      <c r="E312" s="49"/>
    </row>
    <row r="313" spans="1:5">
      <c r="A313" s="49"/>
      <c r="B313" s="49"/>
      <c r="C313" s="49"/>
      <c r="D313" s="49"/>
      <c r="E313" s="49"/>
    </row>
    <row r="314" spans="1:5">
      <c r="A314" s="49"/>
      <c r="B314" s="49"/>
      <c r="C314" s="49"/>
      <c r="D314" s="49"/>
      <c r="E314" s="49"/>
    </row>
    <row r="315" spans="1:5">
      <c r="A315" s="49"/>
      <c r="B315" s="49"/>
      <c r="C315" s="49"/>
      <c r="D315" s="49"/>
      <c r="E315" s="49"/>
    </row>
    <row r="316" spans="1:5">
      <c r="A316" s="49"/>
      <c r="B316" s="49"/>
      <c r="C316" s="49"/>
      <c r="D316" s="49"/>
      <c r="E316" s="49"/>
    </row>
    <row r="317" spans="1:5">
      <c r="A317" s="49"/>
      <c r="B317" s="49"/>
      <c r="C317" s="49"/>
      <c r="D317" s="49"/>
      <c r="E317" s="49"/>
    </row>
    <row r="318" spans="1:5">
      <c r="A318" s="49"/>
      <c r="B318" s="49"/>
      <c r="C318" s="49"/>
      <c r="D318" s="49"/>
      <c r="E318" s="49"/>
    </row>
    <row r="319" spans="1:5">
      <c r="A319" s="49"/>
      <c r="B319" s="49"/>
      <c r="C319" s="49"/>
      <c r="D319" s="49"/>
      <c r="E319" s="49"/>
    </row>
    <row r="320" spans="1:5">
      <c r="A320" s="49"/>
      <c r="B320" s="49"/>
      <c r="C320" s="49"/>
      <c r="D320" s="49"/>
      <c r="E320" s="49"/>
    </row>
    <row r="321" spans="1:5">
      <c r="A321" s="49"/>
      <c r="B321" s="49"/>
      <c r="C321" s="49"/>
      <c r="D321" s="49"/>
      <c r="E321" s="49"/>
    </row>
    <row r="322" spans="1:5">
      <c r="A322" s="49"/>
      <c r="B322" s="49"/>
      <c r="C322" s="49"/>
      <c r="D322" s="49"/>
      <c r="E322" s="49"/>
    </row>
    <row r="323" spans="1:5">
      <c r="A323" s="49"/>
      <c r="B323" s="49"/>
      <c r="C323" s="49"/>
      <c r="D323" s="49"/>
      <c r="E323" s="49"/>
    </row>
    <row r="324" spans="1:5">
      <c r="A324" s="49"/>
      <c r="B324" s="49"/>
      <c r="C324" s="49"/>
      <c r="D324" s="49"/>
      <c r="E324" s="49"/>
    </row>
    <row r="325" spans="1:5">
      <c r="A325" s="49"/>
      <c r="B325" s="49"/>
      <c r="C325" s="49"/>
      <c r="D325" s="49"/>
      <c r="E325" s="49"/>
    </row>
    <row r="326" spans="1:5">
      <c r="A326" s="49"/>
      <c r="B326" s="49"/>
      <c r="C326" s="49"/>
      <c r="D326" s="49"/>
      <c r="E326" s="49"/>
    </row>
    <row r="327" spans="1:5">
      <c r="A327" s="49"/>
      <c r="B327" s="49"/>
      <c r="C327" s="49"/>
      <c r="D327" s="49"/>
      <c r="E327" s="49"/>
    </row>
    <row r="328" spans="1:5">
      <c r="A328" s="49"/>
      <c r="B328" s="49"/>
      <c r="C328" s="49"/>
      <c r="D328" s="49"/>
      <c r="E328" s="49"/>
    </row>
    <row r="329" spans="1:5">
      <c r="A329" s="49"/>
      <c r="B329" s="49"/>
      <c r="C329" s="49"/>
      <c r="D329" s="49"/>
      <c r="E329" s="49"/>
    </row>
    <row r="330" spans="1:5">
      <c r="A330" s="49"/>
      <c r="B330" s="49"/>
      <c r="C330" s="49"/>
      <c r="D330" s="49"/>
      <c r="E330" s="49"/>
    </row>
    <row r="331" spans="1:5">
      <c r="A331" s="49"/>
      <c r="B331" s="49"/>
      <c r="C331" s="49"/>
      <c r="D331" s="49"/>
      <c r="E331" s="49"/>
    </row>
    <row r="332" spans="1:5">
      <c r="A332" s="49"/>
      <c r="B332" s="49"/>
      <c r="C332" s="49"/>
      <c r="D332" s="49"/>
      <c r="E332" s="49"/>
    </row>
    <row r="333" spans="1:5">
      <c r="A333" s="49"/>
      <c r="B333" s="49"/>
      <c r="C333" s="49"/>
      <c r="D333" s="49"/>
      <c r="E333" s="49"/>
    </row>
    <row r="334" spans="1:5">
      <c r="A334" s="49"/>
      <c r="B334" s="49"/>
      <c r="C334" s="49"/>
      <c r="D334" s="49"/>
      <c r="E334" s="49"/>
    </row>
    <row r="335" spans="1:5">
      <c r="A335" s="49"/>
      <c r="B335" s="49"/>
      <c r="C335" s="49"/>
      <c r="D335" s="49"/>
      <c r="E335" s="49"/>
    </row>
    <row r="336" spans="1:5">
      <c r="A336" s="49"/>
      <c r="B336" s="49"/>
      <c r="C336" s="49"/>
      <c r="D336" s="49"/>
      <c r="E336" s="49"/>
    </row>
    <row r="337" spans="1:5">
      <c r="A337" s="49"/>
      <c r="B337" s="49"/>
      <c r="C337" s="49"/>
      <c r="D337" s="49"/>
      <c r="E337" s="49"/>
    </row>
    <row r="338" spans="1:5">
      <c r="A338" s="49"/>
      <c r="B338" s="49"/>
      <c r="C338" s="49"/>
      <c r="D338" s="49"/>
      <c r="E338" s="49"/>
    </row>
    <row r="339" spans="1:5">
      <c r="A339" s="49"/>
      <c r="B339" s="49"/>
      <c r="C339" s="49"/>
      <c r="D339" s="49"/>
      <c r="E339" s="49"/>
    </row>
    <row r="340" spans="1:5">
      <c r="A340" s="49"/>
      <c r="B340" s="49"/>
      <c r="C340" s="49"/>
      <c r="D340" s="49"/>
      <c r="E340" s="49"/>
    </row>
    <row r="341" spans="1:5">
      <c r="A341" s="49"/>
      <c r="B341" s="49"/>
      <c r="C341" s="49"/>
      <c r="D341" s="49"/>
      <c r="E341" s="49"/>
    </row>
    <row r="342" spans="1:5">
      <c r="A342" s="49"/>
      <c r="B342" s="49"/>
      <c r="C342" s="49"/>
      <c r="D342" s="49"/>
      <c r="E342" s="49"/>
    </row>
    <row r="343" spans="1:5">
      <c r="A343" s="49"/>
      <c r="B343" s="49"/>
      <c r="C343" s="49"/>
      <c r="D343" s="49"/>
      <c r="E343" s="49"/>
    </row>
    <row r="344" spans="1:5">
      <c r="A344" s="49"/>
      <c r="B344" s="49"/>
      <c r="C344" s="49"/>
      <c r="D344" s="49"/>
      <c r="E344" s="49"/>
    </row>
    <row r="345" spans="1:5">
      <c r="A345" s="49"/>
      <c r="B345" s="49"/>
      <c r="C345" s="49"/>
      <c r="D345" s="49"/>
      <c r="E345" s="49"/>
    </row>
    <row r="346" spans="1:5">
      <c r="A346" s="49"/>
      <c r="B346" s="49"/>
      <c r="C346" s="49"/>
      <c r="D346" s="49"/>
      <c r="E346" s="49"/>
    </row>
    <row r="347" spans="1:5">
      <c r="A347" s="49"/>
      <c r="B347" s="49"/>
      <c r="C347" s="49"/>
      <c r="D347" s="49"/>
      <c r="E347" s="49"/>
    </row>
    <row r="348" spans="1:5">
      <c r="A348" s="49"/>
      <c r="B348" s="49"/>
      <c r="C348" s="49"/>
      <c r="D348" s="49"/>
      <c r="E348" s="49"/>
    </row>
    <row r="349" spans="1:5">
      <c r="A349" s="49"/>
      <c r="B349" s="49"/>
      <c r="C349" s="49"/>
      <c r="D349" s="49"/>
      <c r="E349" s="49"/>
    </row>
    <row r="350" spans="1:5">
      <c r="A350" s="49"/>
      <c r="B350" s="49"/>
      <c r="C350" s="49"/>
      <c r="D350" s="49"/>
      <c r="E350" s="49"/>
    </row>
    <row r="351" spans="1:5">
      <c r="A351" s="49"/>
      <c r="B351" s="49"/>
      <c r="C351" s="49"/>
      <c r="D351" s="49"/>
      <c r="E351" s="49"/>
    </row>
    <row r="352" spans="1:5">
      <c r="A352" s="49"/>
      <c r="B352" s="49"/>
      <c r="C352" s="49"/>
      <c r="D352" s="49"/>
      <c r="E352" s="49"/>
    </row>
    <row r="353" spans="1:5">
      <c r="A353" s="49"/>
      <c r="B353" s="49"/>
      <c r="C353" s="49"/>
      <c r="D353" s="49"/>
      <c r="E353" s="49"/>
    </row>
    <row r="354" spans="1:5">
      <c r="A354" s="49"/>
      <c r="B354" s="49"/>
      <c r="C354" s="49"/>
      <c r="D354" s="49"/>
      <c r="E354" s="49"/>
    </row>
    <row r="355" spans="1:5">
      <c r="A355" s="49"/>
      <c r="B355" s="49"/>
      <c r="C355" s="49"/>
      <c r="D355" s="49"/>
      <c r="E355" s="49"/>
    </row>
    <row r="356" spans="1:5">
      <c r="A356" s="49"/>
      <c r="B356" s="49"/>
      <c r="C356" s="49"/>
      <c r="D356" s="49"/>
      <c r="E356" s="49"/>
    </row>
    <row r="357" spans="1:5">
      <c r="A357" s="49"/>
      <c r="B357" s="49"/>
      <c r="C357" s="49"/>
      <c r="D357" s="49"/>
      <c r="E357" s="49"/>
    </row>
    <row r="358" spans="1:5">
      <c r="A358" s="49"/>
      <c r="B358" s="49"/>
      <c r="C358" s="49"/>
      <c r="D358" s="49"/>
      <c r="E358" s="49"/>
    </row>
    <row r="359" spans="1:5">
      <c r="A359" s="49"/>
      <c r="B359" s="49"/>
      <c r="C359" s="49"/>
      <c r="D359" s="49"/>
      <c r="E359" s="49"/>
    </row>
    <row r="360" spans="1:5">
      <c r="A360" s="49"/>
      <c r="B360" s="49"/>
      <c r="C360" s="49"/>
      <c r="D360" s="49"/>
      <c r="E360" s="49"/>
    </row>
    <row r="361" spans="1:5">
      <c r="A361" s="49"/>
      <c r="B361" s="49"/>
      <c r="C361" s="49"/>
      <c r="D361" s="49"/>
      <c r="E361" s="49"/>
    </row>
    <row r="362" spans="1:5">
      <c r="A362" s="49"/>
      <c r="B362" s="49"/>
      <c r="C362" s="49"/>
      <c r="D362" s="49"/>
      <c r="E362" s="49"/>
    </row>
    <row r="363" spans="1:5">
      <c r="A363" s="49"/>
      <c r="B363" s="49"/>
      <c r="C363" s="49"/>
      <c r="D363" s="49"/>
      <c r="E363" s="49"/>
    </row>
    <row r="364" spans="1:5">
      <c r="A364" s="49"/>
      <c r="B364" s="49"/>
      <c r="C364" s="49"/>
      <c r="D364" s="49"/>
      <c r="E364" s="49"/>
    </row>
    <row r="365" spans="1:5">
      <c r="A365" s="49"/>
      <c r="B365" s="49"/>
      <c r="C365" s="49"/>
      <c r="D365" s="49"/>
      <c r="E365" s="49"/>
    </row>
    <row r="366" spans="1:5">
      <c r="A366" s="49"/>
      <c r="B366" s="49"/>
      <c r="C366" s="49"/>
      <c r="D366" s="49"/>
      <c r="E366" s="49"/>
    </row>
    <row r="367" spans="1:5">
      <c r="A367" s="49"/>
      <c r="B367" s="49"/>
      <c r="C367" s="49"/>
      <c r="D367" s="49"/>
      <c r="E367" s="49"/>
    </row>
    <row r="368" spans="1:5">
      <c r="A368" s="49"/>
      <c r="B368" s="49"/>
      <c r="C368" s="49"/>
      <c r="D368" s="49"/>
      <c r="E368" s="49"/>
    </row>
    <row r="369" spans="1:5">
      <c r="A369" s="49"/>
      <c r="B369" s="49"/>
      <c r="C369" s="49"/>
      <c r="D369" s="49"/>
      <c r="E369" s="49"/>
    </row>
    <row r="370" spans="1:5">
      <c r="A370" s="49"/>
      <c r="B370" s="49"/>
      <c r="C370" s="49"/>
      <c r="D370" s="49"/>
      <c r="E370" s="49"/>
    </row>
    <row r="371" spans="1:5">
      <c r="A371" s="49"/>
      <c r="B371" s="49"/>
      <c r="C371" s="49"/>
      <c r="D371" s="49"/>
      <c r="E371" s="49"/>
    </row>
    <row r="372" spans="1:5">
      <c r="A372" s="49"/>
      <c r="B372" s="49"/>
      <c r="C372" s="49"/>
      <c r="D372" s="49"/>
      <c r="E372" s="49"/>
    </row>
    <row r="373" spans="1:5">
      <c r="A373" s="49"/>
      <c r="B373" s="49"/>
      <c r="C373" s="49"/>
      <c r="D373" s="49"/>
      <c r="E373" s="49"/>
    </row>
    <row r="374" spans="1:5">
      <c r="A374" s="49"/>
      <c r="B374" s="49"/>
      <c r="C374" s="49"/>
      <c r="D374" s="49"/>
      <c r="E374" s="49"/>
    </row>
    <row r="375" spans="1:5">
      <c r="A375" s="49"/>
      <c r="B375" s="49"/>
      <c r="C375" s="49"/>
      <c r="D375" s="49"/>
      <c r="E375" s="49"/>
    </row>
    <row r="376" spans="1:5">
      <c r="A376" s="49"/>
      <c r="B376" s="49"/>
      <c r="C376" s="49"/>
      <c r="D376" s="49"/>
      <c r="E376" s="49"/>
    </row>
    <row r="377" spans="1:5">
      <c r="A377" s="49"/>
      <c r="B377" s="49"/>
      <c r="C377" s="49"/>
      <c r="D377" s="49"/>
      <c r="E377" s="49"/>
    </row>
    <row r="378" spans="1:5">
      <c r="A378" s="49"/>
      <c r="B378" s="49"/>
      <c r="C378" s="49"/>
      <c r="D378" s="49"/>
      <c r="E378" s="49"/>
    </row>
    <row r="379" spans="1:5">
      <c r="A379" s="49"/>
      <c r="B379" s="49"/>
      <c r="C379" s="49"/>
      <c r="D379" s="49"/>
      <c r="E379" s="49"/>
    </row>
    <row r="380" spans="1:5">
      <c r="A380" s="49"/>
      <c r="B380" s="49"/>
      <c r="C380" s="49"/>
      <c r="D380" s="49"/>
      <c r="E380" s="49"/>
    </row>
    <row r="381" spans="1:5">
      <c r="A381" s="49"/>
      <c r="B381" s="49"/>
      <c r="C381" s="49"/>
      <c r="D381" s="49"/>
      <c r="E381" s="49"/>
    </row>
    <row r="382" spans="1:5">
      <c r="A382" s="49"/>
      <c r="B382" s="49"/>
      <c r="C382" s="49"/>
      <c r="D382" s="49"/>
      <c r="E382" s="49"/>
    </row>
    <row r="383" spans="1:5">
      <c r="A383" s="49"/>
      <c r="B383" s="49"/>
      <c r="C383" s="49"/>
      <c r="D383" s="49"/>
      <c r="E383" s="49"/>
    </row>
    <row r="384" spans="1:5">
      <c r="A384" s="49"/>
      <c r="B384" s="49"/>
      <c r="C384" s="49"/>
      <c r="D384" s="49"/>
      <c r="E384" s="49"/>
    </row>
    <row r="385" spans="1:5">
      <c r="A385" s="49"/>
      <c r="B385" s="49"/>
      <c r="C385" s="49"/>
      <c r="D385" s="49"/>
      <c r="E385" s="49"/>
    </row>
    <row r="386" spans="1:5">
      <c r="A386" s="49"/>
      <c r="B386" s="49"/>
      <c r="C386" s="49"/>
      <c r="D386" s="49"/>
      <c r="E386" s="49"/>
    </row>
    <row r="387" spans="1:5">
      <c r="A387" s="49"/>
      <c r="B387" s="49"/>
      <c r="C387" s="49"/>
      <c r="D387" s="49"/>
      <c r="E387" s="49"/>
    </row>
    <row r="388" spans="1:5">
      <c r="A388" s="49"/>
      <c r="B388" s="49"/>
      <c r="C388" s="49"/>
      <c r="D388" s="49"/>
      <c r="E388" s="49"/>
    </row>
    <row r="389" spans="1:5">
      <c r="A389" s="49"/>
      <c r="B389" s="49"/>
      <c r="C389" s="49"/>
      <c r="D389" s="49"/>
      <c r="E389" s="49"/>
    </row>
    <row r="390" spans="1:5">
      <c r="A390" s="49"/>
      <c r="B390" s="49"/>
      <c r="C390" s="49"/>
      <c r="D390" s="49"/>
      <c r="E390" s="49"/>
    </row>
    <row r="391" spans="1:5">
      <c r="A391" s="49"/>
      <c r="B391" s="49"/>
      <c r="C391" s="49"/>
      <c r="D391" s="49"/>
      <c r="E391" s="49"/>
    </row>
    <row r="392" spans="1:5">
      <c r="A392" s="49"/>
      <c r="B392" s="49"/>
      <c r="C392" s="49"/>
      <c r="D392" s="49"/>
      <c r="E392" s="49"/>
    </row>
    <row r="393" spans="1:5">
      <c r="A393" s="49"/>
      <c r="B393" s="49"/>
      <c r="C393" s="49"/>
      <c r="D393" s="49"/>
      <c r="E393" s="49"/>
    </row>
    <row r="394" spans="1:5">
      <c r="A394" s="49"/>
      <c r="B394" s="49"/>
      <c r="C394" s="49"/>
      <c r="D394" s="49"/>
      <c r="E394" s="49"/>
    </row>
    <row r="395" spans="1:5">
      <c r="A395" s="49"/>
      <c r="B395" s="49"/>
      <c r="C395" s="49"/>
      <c r="D395" s="49"/>
      <c r="E395" s="49"/>
    </row>
    <row r="396" spans="1:5">
      <c r="A396" s="49"/>
      <c r="B396" s="49"/>
      <c r="C396" s="49"/>
      <c r="D396" s="49"/>
      <c r="E396" s="49"/>
    </row>
    <row r="397" spans="1:5">
      <c r="A397" s="49"/>
      <c r="B397" s="49"/>
      <c r="C397" s="49"/>
      <c r="D397" s="49"/>
      <c r="E397" s="49"/>
    </row>
    <row r="398" spans="1:5">
      <c r="A398" s="49"/>
      <c r="B398" s="49"/>
      <c r="C398" s="49"/>
      <c r="D398" s="49"/>
      <c r="E398" s="49"/>
    </row>
    <row r="399" spans="1:5">
      <c r="A399" s="49"/>
      <c r="B399" s="49"/>
      <c r="C399" s="49"/>
      <c r="D399" s="49"/>
      <c r="E399" s="49"/>
    </row>
    <row r="400" spans="1:5">
      <c r="A400" s="49"/>
      <c r="B400" s="49"/>
      <c r="C400" s="49"/>
      <c r="D400" s="49"/>
      <c r="E400" s="49"/>
    </row>
    <row r="401" spans="1:5">
      <c r="A401" s="49"/>
      <c r="B401" s="49"/>
      <c r="C401" s="49"/>
      <c r="D401" s="49"/>
      <c r="E401" s="49"/>
    </row>
    <row r="402" spans="1:5">
      <c r="A402" s="49"/>
      <c r="B402" s="49"/>
      <c r="C402" s="49"/>
      <c r="D402" s="49"/>
      <c r="E402" s="49"/>
    </row>
    <row r="403" spans="1:5">
      <c r="A403" s="49"/>
      <c r="B403" s="49"/>
      <c r="C403" s="49"/>
      <c r="D403" s="49"/>
      <c r="E403" s="49"/>
    </row>
    <row r="404" spans="1:5">
      <c r="A404" s="49"/>
      <c r="B404" s="49"/>
      <c r="C404" s="49"/>
      <c r="D404" s="49"/>
      <c r="E404" s="49"/>
    </row>
    <row r="405" spans="1:5">
      <c r="A405" s="49"/>
      <c r="B405" s="49"/>
      <c r="C405" s="49"/>
      <c r="D405" s="49"/>
      <c r="E405" s="49"/>
    </row>
    <row r="406" spans="1:5">
      <c r="A406" s="49"/>
      <c r="B406" s="49"/>
      <c r="C406" s="49"/>
      <c r="D406" s="49"/>
      <c r="E406" s="49"/>
    </row>
    <row r="407" spans="1:5">
      <c r="A407" s="49"/>
      <c r="B407" s="49"/>
      <c r="C407" s="49"/>
      <c r="D407" s="49"/>
      <c r="E407" s="49"/>
    </row>
    <row r="408" spans="1:5">
      <c r="A408" s="49"/>
      <c r="B408" s="49"/>
      <c r="C408" s="49"/>
      <c r="D408" s="49"/>
      <c r="E408" s="49"/>
    </row>
    <row r="409" spans="1:5">
      <c r="A409" s="49"/>
      <c r="B409" s="49"/>
      <c r="C409" s="49"/>
      <c r="D409" s="49"/>
      <c r="E409" s="49"/>
    </row>
    <row r="410" spans="1:5">
      <c r="A410" s="49"/>
      <c r="B410" s="49"/>
      <c r="C410" s="49"/>
      <c r="D410" s="49"/>
      <c r="E410" s="49"/>
    </row>
    <row r="411" spans="1:5">
      <c r="A411" s="49"/>
      <c r="B411" s="49"/>
      <c r="C411" s="49"/>
      <c r="D411" s="49"/>
      <c r="E411" s="49"/>
    </row>
    <row r="412" spans="1:5">
      <c r="A412" s="49"/>
      <c r="B412" s="49"/>
      <c r="C412" s="49"/>
      <c r="D412" s="49"/>
      <c r="E412" s="49"/>
    </row>
    <row r="413" spans="1:5">
      <c r="A413" s="49"/>
      <c r="B413" s="49"/>
      <c r="C413" s="49"/>
      <c r="D413" s="49"/>
      <c r="E413" s="49"/>
    </row>
    <row r="414" spans="1:5">
      <c r="A414" s="49"/>
      <c r="B414" s="49"/>
      <c r="C414" s="49"/>
      <c r="D414" s="49"/>
      <c r="E414" s="49"/>
    </row>
    <row r="415" spans="1:5">
      <c r="A415" s="49"/>
      <c r="B415" s="49"/>
      <c r="C415" s="49"/>
      <c r="D415" s="49"/>
      <c r="E415" s="49"/>
    </row>
    <row r="416" spans="1:5">
      <c r="A416" s="49"/>
      <c r="B416" s="49"/>
      <c r="C416" s="49"/>
      <c r="D416" s="49"/>
      <c r="E416" s="49"/>
    </row>
    <row r="417" spans="1:5">
      <c r="A417" s="49"/>
      <c r="B417" s="49"/>
      <c r="C417" s="49"/>
      <c r="D417" s="49"/>
      <c r="E417" s="49"/>
    </row>
    <row r="418" spans="1:5">
      <c r="A418" s="49"/>
      <c r="B418" s="49"/>
      <c r="C418" s="49"/>
      <c r="D418" s="49"/>
      <c r="E418" s="49"/>
    </row>
    <row r="419" spans="1:5">
      <c r="A419" s="49"/>
      <c r="B419" s="49"/>
      <c r="C419" s="49"/>
      <c r="D419" s="49"/>
      <c r="E419" s="49"/>
    </row>
    <row r="420" spans="1:5">
      <c r="A420" s="49"/>
      <c r="B420" s="49"/>
      <c r="C420" s="49"/>
      <c r="D420" s="49"/>
      <c r="E420" s="49"/>
    </row>
    <row r="421" spans="1:5">
      <c r="A421" s="49"/>
      <c r="B421" s="49"/>
      <c r="C421" s="49"/>
      <c r="D421" s="49"/>
      <c r="E421" s="49"/>
    </row>
    <row r="422" spans="1:5">
      <c r="A422" s="49"/>
      <c r="B422" s="49"/>
      <c r="C422" s="49"/>
      <c r="D422" s="49"/>
      <c r="E422" s="49"/>
    </row>
    <row r="423" spans="1:5">
      <c r="A423" s="49"/>
      <c r="B423" s="49"/>
      <c r="C423" s="49"/>
      <c r="D423" s="49"/>
      <c r="E423" s="49"/>
    </row>
    <row r="424" spans="1:5">
      <c r="A424" s="49"/>
      <c r="B424" s="49"/>
      <c r="C424" s="49"/>
      <c r="D424" s="49"/>
      <c r="E424" s="49"/>
    </row>
    <row r="425" spans="1:5">
      <c r="A425" s="49"/>
      <c r="B425" s="49"/>
      <c r="C425" s="49"/>
      <c r="D425" s="49"/>
      <c r="E425" s="49"/>
    </row>
    <row r="426" spans="1:5">
      <c r="A426" s="49"/>
      <c r="B426" s="49"/>
      <c r="C426" s="49"/>
      <c r="D426" s="49"/>
      <c r="E426" s="49"/>
    </row>
    <row r="427" spans="1:5">
      <c r="A427" s="49"/>
      <c r="B427" s="49"/>
      <c r="C427" s="49"/>
      <c r="D427" s="49"/>
      <c r="E427" s="49"/>
    </row>
    <row r="428" spans="1:5">
      <c r="A428" s="49"/>
      <c r="B428" s="49"/>
      <c r="C428" s="49"/>
      <c r="D428" s="49"/>
      <c r="E428" s="49"/>
    </row>
    <row r="429" spans="1:5">
      <c r="A429" s="49"/>
      <c r="B429" s="49"/>
      <c r="C429" s="49"/>
      <c r="D429" s="49"/>
      <c r="E429" s="49"/>
    </row>
    <row r="430" spans="1:5">
      <c r="A430" s="49"/>
      <c r="B430" s="49"/>
      <c r="C430" s="49"/>
      <c r="D430" s="49"/>
      <c r="E430" s="49"/>
    </row>
    <row r="431" spans="1:5">
      <c r="A431" s="49"/>
      <c r="B431" s="49"/>
      <c r="C431" s="49"/>
      <c r="D431" s="49"/>
      <c r="E431" s="49"/>
    </row>
    <row r="432" spans="1:5">
      <c r="A432" s="49"/>
      <c r="B432" s="49"/>
      <c r="C432" s="49"/>
      <c r="D432" s="49"/>
      <c r="E432" s="49"/>
    </row>
    <row r="433" spans="1:5">
      <c r="A433" s="49"/>
      <c r="B433" s="49"/>
      <c r="C433" s="49"/>
      <c r="D433" s="49"/>
      <c r="E433" s="49"/>
    </row>
    <row r="434" spans="1:5">
      <c r="A434" s="49"/>
      <c r="B434" s="49"/>
      <c r="C434" s="49"/>
      <c r="D434" s="49"/>
      <c r="E434" s="49"/>
    </row>
    <row r="435" spans="1:5">
      <c r="A435" s="49"/>
      <c r="B435" s="49"/>
      <c r="C435" s="49"/>
      <c r="D435" s="49"/>
      <c r="E435" s="49"/>
    </row>
    <row r="436" spans="1:5">
      <c r="A436" s="49"/>
      <c r="B436" s="49"/>
      <c r="C436" s="49"/>
      <c r="D436" s="49"/>
      <c r="E436" s="49"/>
    </row>
    <row r="437" spans="1:5">
      <c r="A437" s="49"/>
      <c r="B437" s="49"/>
      <c r="C437" s="49"/>
      <c r="D437" s="49"/>
      <c r="E437" s="49"/>
    </row>
    <row r="438" spans="1:5">
      <c r="A438" s="49"/>
      <c r="B438" s="49"/>
      <c r="C438" s="49"/>
      <c r="D438" s="49"/>
      <c r="E438" s="49"/>
    </row>
    <row r="439" spans="1:5">
      <c r="A439" s="49"/>
      <c r="B439" s="49"/>
      <c r="C439" s="49"/>
      <c r="D439" s="49"/>
      <c r="E439" s="49"/>
    </row>
    <row r="440" spans="1:5">
      <c r="A440" s="49"/>
      <c r="B440" s="49"/>
      <c r="C440" s="49"/>
      <c r="D440" s="49"/>
      <c r="E440" s="49"/>
    </row>
    <row r="441" spans="1:5">
      <c r="A441" s="49"/>
      <c r="B441" s="49"/>
      <c r="C441" s="49"/>
      <c r="D441" s="49"/>
      <c r="E441" s="49"/>
    </row>
    <row r="442" spans="1:5">
      <c r="A442" s="49"/>
      <c r="B442" s="49"/>
      <c r="C442" s="49"/>
      <c r="D442" s="49"/>
      <c r="E442" s="49"/>
    </row>
    <row r="443" spans="1:5">
      <c r="A443" s="49"/>
      <c r="B443" s="49"/>
      <c r="C443" s="49"/>
      <c r="D443" s="49"/>
      <c r="E443" s="49"/>
    </row>
    <row r="444" spans="1:5">
      <c r="A444" s="49"/>
      <c r="B444" s="49"/>
      <c r="C444" s="49"/>
      <c r="D444" s="49"/>
      <c r="E444" s="49"/>
    </row>
    <row r="445" spans="1:5">
      <c r="A445" s="49"/>
      <c r="B445" s="49"/>
      <c r="C445" s="49"/>
      <c r="D445" s="49"/>
      <c r="E445" s="49"/>
    </row>
    <row r="446" spans="1:5">
      <c r="A446" s="49"/>
      <c r="B446" s="49"/>
      <c r="C446" s="49"/>
      <c r="D446" s="49"/>
      <c r="E446" s="49"/>
    </row>
    <row r="447" spans="1:5">
      <c r="A447" s="49"/>
      <c r="B447" s="49"/>
      <c r="C447" s="49"/>
      <c r="D447" s="49"/>
      <c r="E447" s="49"/>
    </row>
    <row r="448" spans="1:5">
      <c r="A448" s="49"/>
      <c r="B448" s="49"/>
      <c r="C448" s="49"/>
      <c r="D448" s="49"/>
      <c r="E448" s="49"/>
    </row>
    <row r="449" spans="1:5">
      <c r="A449" s="49"/>
      <c r="B449" s="49"/>
      <c r="C449" s="49"/>
      <c r="D449" s="49"/>
      <c r="E449" s="49"/>
    </row>
    <row r="450" spans="1:5">
      <c r="A450" s="49"/>
      <c r="B450" s="49"/>
      <c r="C450" s="49"/>
      <c r="D450" s="49"/>
      <c r="E450" s="49"/>
    </row>
    <row r="451" spans="1:5">
      <c r="A451" s="49"/>
      <c r="B451" s="49"/>
      <c r="C451" s="49"/>
      <c r="D451" s="49"/>
      <c r="E451" s="49"/>
    </row>
    <row r="452" spans="1:5">
      <c r="A452" s="49"/>
      <c r="B452" s="49"/>
      <c r="C452" s="49"/>
      <c r="D452" s="49"/>
      <c r="E452" s="49"/>
    </row>
    <row r="453" spans="1:5">
      <c r="A453" s="49"/>
      <c r="B453" s="49"/>
      <c r="C453" s="49"/>
      <c r="D453" s="49"/>
      <c r="E453" s="49"/>
    </row>
    <row r="454" spans="1:5">
      <c r="A454" s="49"/>
      <c r="B454" s="49"/>
      <c r="C454" s="49"/>
      <c r="D454" s="49"/>
      <c r="E454" s="49"/>
    </row>
    <row r="455" spans="1:5">
      <c r="A455" s="49"/>
      <c r="B455" s="49"/>
      <c r="C455" s="49"/>
      <c r="D455" s="49"/>
      <c r="E455" s="49"/>
    </row>
    <row r="456" spans="1:5">
      <c r="A456" s="49"/>
      <c r="B456" s="49"/>
      <c r="C456" s="49"/>
      <c r="D456" s="49"/>
      <c r="E456" s="49"/>
    </row>
    <row r="457" spans="1:5">
      <c r="A457" s="49"/>
      <c r="B457" s="49"/>
      <c r="C457" s="49"/>
      <c r="D457" s="49"/>
      <c r="E457" s="49"/>
    </row>
    <row r="458" spans="1:5">
      <c r="A458" s="49"/>
      <c r="B458" s="49"/>
      <c r="C458" s="49"/>
      <c r="D458" s="49"/>
      <c r="E458" s="49"/>
    </row>
    <row r="459" spans="1:5">
      <c r="A459" s="49"/>
      <c r="B459" s="49"/>
      <c r="C459" s="49"/>
      <c r="D459" s="49"/>
      <c r="E459" s="49"/>
    </row>
    <row r="460" spans="1:5">
      <c r="A460" s="49"/>
      <c r="B460" s="49"/>
      <c r="C460" s="49"/>
      <c r="D460" s="49"/>
      <c r="E460" s="49"/>
    </row>
    <row r="461" spans="1:5">
      <c r="A461" s="49"/>
      <c r="B461" s="49"/>
      <c r="C461" s="49"/>
      <c r="D461" s="49"/>
      <c r="E461" s="49"/>
    </row>
    <row r="462" spans="1:5">
      <c r="A462" s="49"/>
      <c r="B462" s="49"/>
      <c r="C462" s="49"/>
      <c r="D462" s="49"/>
      <c r="E462" s="49"/>
    </row>
    <row r="463" spans="1:5">
      <c r="A463" s="49"/>
      <c r="B463" s="49"/>
      <c r="C463" s="49"/>
      <c r="D463" s="49"/>
      <c r="E463" s="49"/>
    </row>
    <row r="464" spans="1:5">
      <c r="A464" s="49"/>
      <c r="B464" s="49"/>
      <c r="C464" s="49"/>
      <c r="D464" s="49"/>
      <c r="E464" s="49"/>
    </row>
    <row r="465" spans="1:5">
      <c r="A465" s="49"/>
      <c r="B465" s="49"/>
      <c r="C465" s="49"/>
      <c r="D465" s="49"/>
      <c r="E465" s="49"/>
    </row>
    <row r="466" spans="1:5">
      <c r="A466" s="49"/>
      <c r="B466" s="49"/>
      <c r="C466" s="49"/>
      <c r="D466" s="49"/>
      <c r="E466" s="49"/>
    </row>
    <row r="467" spans="1:5">
      <c r="A467" s="49"/>
      <c r="B467" s="49"/>
      <c r="C467" s="49"/>
      <c r="D467" s="49"/>
      <c r="E467" s="49"/>
    </row>
    <row r="468" spans="1:5">
      <c r="A468" s="49"/>
      <c r="B468" s="49"/>
      <c r="C468" s="49"/>
      <c r="D468" s="49"/>
      <c r="E468" s="49"/>
    </row>
    <row r="469" spans="1:5">
      <c r="A469" s="49"/>
      <c r="B469" s="49"/>
      <c r="C469" s="49"/>
      <c r="D469" s="49"/>
      <c r="E469" s="49"/>
    </row>
    <row r="470" spans="1:5">
      <c r="A470" s="49"/>
      <c r="B470" s="49"/>
      <c r="C470" s="49"/>
      <c r="D470" s="49"/>
      <c r="E470" s="49"/>
    </row>
    <row r="471" spans="1:5">
      <c r="A471" s="49"/>
      <c r="B471" s="49"/>
      <c r="C471" s="49"/>
      <c r="D471" s="49"/>
      <c r="E471" s="49"/>
    </row>
    <row r="472" spans="1:5">
      <c r="A472" s="49"/>
      <c r="B472" s="49"/>
      <c r="C472" s="49"/>
      <c r="D472" s="49"/>
      <c r="E472" s="49"/>
    </row>
    <row r="473" spans="1:5">
      <c r="A473" s="49"/>
      <c r="B473" s="49"/>
      <c r="C473" s="49"/>
      <c r="D473" s="49"/>
      <c r="E473" s="49"/>
    </row>
    <row r="474" spans="1:5">
      <c r="A474" s="49"/>
      <c r="B474" s="49"/>
      <c r="C474" s="49"/>
      <c r="D474" s="49"/>
      <c r="E474" s="49"/>
    </row>
    <row r="475" spans="1:5">
      <c r="A475" s="49"/>
      <c r="B475" s="49"/>
      <c r="C475" s="49"/>
      <c r="D475" s="49"/>
      <c r="E475" s="49"/>
    </row>
    <row r="476" spans="1:5">
      <c r="A476" s="49"/>
      <c r="B476" s="49"/>
      <c r="C476" s="49"/>
      <c r="D476" s="49"/>
      <c r="E476" s="49"/>
    </row>
    <row r="477" spans="1:5">
      <c r="A477" s="49"/>
      <c r="B477" s="49"/>
      <c r="C477" s="49"/>
      <c r="D477" s="49"/>
      <c r="E477" s="49"/>
    </row>
    <row r="478" spans="1:5">
      <c r="A478" s="49"/>
      <c r="B478" s="49"/>
      <c r="C478" s="49"/>
      <c r="D478" s="49"/>
      <c r="E478" s="49"/>
    </row>
    <row r="479" spans="1:5">
      <c r="A479" s="49"/>
      <c r="B479" s="49"/>
      <c r="C479" s="49"/>
      <c r="D479" s="49"/>
      <c r="E479" s="49"/>
    </row>
    <row r="480" spans="1:5">
      <c r="A480" s="49"/>
      <c r="B480" s="49"/>
      <c r="C480" s="49"/>
      <c r="D480" s="49"/>
      <c r="E480" s="49"/>
    </row>
    <row r="481" spans="1:5">
      <c r="A481" s="49"/>
      <c r="B481" s="49"/>
      <c r="C481" s="49"/>
      <c r="D481" s="49"/>
      <c r="E481" s="49"/>
    </row>
    <row r="482" spans="1:5">
      <c r="A482" s="49"/>
      <c r="B482" s="49"/>
      <c r="C482" s="49"/>
      <c r="D482" s="49"/>
      <c r="E482" s="49"/>
    </row>
    <row r="483" spans="1:5">
      <c r="A483" s="49"/>
      <c r="B483" s="49"/>
      <c r="C483" s="49"/>
      <c r="D483" s="49"/>
      <c r="E483" s="49"/>
    </row>
    <row r="484" spans="1:5">
      <c r="A484" s="49"/>
      <c r="B484" s="49"/>
      <c r="C484" s="49"/>
      <c r="D484" s="49"/>
      <c r="E484" s="49"/>
    </row>
    <row r="485" spans="1:5">
      <c r="A485" s="49"/>
      <c r="B485" s="49"/>
      <c r="C485" s="49"/>
      <c r="D485" s="49"/>
      <c r="E485" s="49"/>
    </row>
    <row r="486" spans="1:5">
      <c r="A486" s="49"/>
      <c r="B486" s="49"/>
      <c r="C486" s="49"/>
      <c r="D486" s="49"/>
      <c r="E486" s="49"/>
    </row>
    <row r="487" spans="1:5">
      <c r="A487" s="49"/>
      <c r="B487" s="49"/>
      <c r="C487" s="49"/>
      <c r="D487" s="49"/>
      <c r="E487" s="49"/>
    </row>
    <row r="488" spans="1:5">
      <c r="A488" s="49"/>
      <c r="B488" s="49"/>
      <c r="C488" s="49"/>
      <c r="D488" s="49"/>
      <c r="E488" s="49"/>
    </row>
    <row r="489" spans="1:5">
      <c r="A489" s="49"/>
      <c r="B489" s="49"/>
      <c r="C489" s="49"/>
      <c r="D489" s="49"/>
      <c r="E489" s="49"/>
    </row>
    <row r="490" spans="1:5">
      <c r="A490" s="49"/>
      <c r="B490" s="49"/>
      <c r="C490" s="49"/>
      <c r="D490" s="49"/>
      <c r="E490" s="49"/>
    </row>
    <row r="491" spans="1:5">
      <c r="A491" s="49"/>
      <c r="B491" s="49"/>
      <c r="C491" s="49"/>
      <c r="D491" s="49"/>
      <c r="E491" s="49"/>
    </row>
    <row r="492" spans="1:5">
      <c r="A492" s="49"/>
      <c r="B492" s="49"/>
      <c r="C492" s="49"/>
      <c r="D492" s="49"/>
      <c r="E492" s="49"/>
    </row>
    <row r="493" spans="1:5">
      <c r="A493" s="49"/>
      <c r="B493" s="49"/>
      <c r="C493" s="49"/>
      <c r="D493" s="49"/>
      <c r="E493" s="49"/>
    </row>
    <row r="494" spans="1:5">
      <c r="A494" s="49"/>
      <c r="B494" s="49"/>
      <c r="C494" s="49"/>
      <c r="D494" s="49"/>
      <c r="E494" s="49"/>
    </row>
    <row r="495" spans="1:5">
      <c r="A495" s="49"/>
      <c r="B495" s="49"/>
      <c r="C495" s="49"/>
      <c r="D495" s="49"/>
      <c r="E495" s="49"/>
    </row>
    <row r="496" spans="1:5">
      <c r="A496" s="49"/>
      <c r="B496" s="49"/>
      <c r="C496" s="49"/>
      <c r="D496" s="49"/>
      <c r="E496" s="49"/>
    </row>
    <row r="497" spans="1:5">
      <c r="A497" s="49"/>
      <c r="B497" s="49"/>
      <c r="C497" s="49"/>
      <c r="D497" s="49"/>
      <c r="E497" s="49"/>
    </row>
    <row r="498" spans="1:5">
      <c r="A498" s="49"/>
      <c r="B498" s="49"/>
      <c r="C498" s="49"/>
      <c r="D498" s="49"/>
      <c r="E498" s="49"/>
    </row>
    <row r="499" spans="1:5">
      <c r="A499" s="49"/>
      <c r="B499" s="49"/>
      <c r="C499" s="49"/>
      <c r="D499" s="49"/>
      <c r="E499" s="49"/>
    </row>
    <row r="500" spans="1:5">
      <c r="A500" s="49"/>
      <c r="B500" s="49"/>
      <c r="C500" s="49"/>
      <c r="D500" s="49"/>
      <c r="E500" s="49"/>
    </row>
    <row r="501" spans="1:5">
      <c r="A501" s="49"/>
      <c r="B501" s="49"/>
      <c r="C501" s="49"/>
      <c r="D501" s="49"/>
      <c r="E501" s="49"/>
    </row>
    <row r="502" spans="1:5">
      <c r="A502" s="49"/>
      <c r="B502" s="49"/>
      <c r="C502" s="49"/>
      <c r="D502" s="49"/>
      <c r="E502" s="49"/>
    </row>
    <row r="503" spans="1:5">
      <c r="A503" s="49"/>
      <c r="B503" s="49"/>
      <c r="C503" s="49"/>
      <c r="D503" s="49"/>
      <c r="E503" s="49"/>
    </row>
    <row r="504" spans="1:5">
      <c r="A504" s="49"/>
      <c r="B504" s="49"/>
      <c r="C504" s="49"/>
      <c r="D504" s="49"/>
      <c r="E504" s="49"/>
    </row>
    <row r="505" spans="1:5">
      <c r="A505" s="49"/>
      <c r="B505" s="49"/>
      <c r="C505" s="49"/>
      <c r="D505" s="49"/>
      <c r="E505" s="49"/>
    </row>
    <row r="506" spans="1:5">
      <c r="A506" s="49"/>
      <c r="B506" s="49"/>
      <c r="C506" s="49"/>
      <c r="D506" s="49"/>
      <c r="E506" s="49"/>
    </row>
    <row r="507" spans="1:5">
      <c r="A507" s="49"/>
      <c r="B507" s="49"/>
      <c r="C507" s="49"/>
      <c r="D507" s="49"/>
      <c r="E507" s="49"/>
    </row>
    <row r="508" spans="1:5">
      <c r="A508" s="49"/>
      <c r="B508" s="49"/>
      <c r="C508" s="49"/>
      <c r="D508" s="49"/>
      <c r="E508" s="49"/>
    </row>
    <row r="509" spans="1:5">
      <c r="A509" s="49"/>
      <c r="B509" s="49"/>
      <c r="C509" s="49"/>
      <c r="D509" s="49"/>
      <c r="E509" s="49"/>
    </row>
    <row r="510" spans="1:5">
      <c r="A510" s="49"/>
      <c r="B510" s="49"/>
      <c r="C510" s="49"/>
      <c r="D510" s="49"/>
      <c r="E510" s="49"/>
    </row>
    <row r="511" spans="1:5">
      <c r="A511" s="49"/>
      <c r="B511" s="49"/>
      <c r="C511" s="49"/>
      <c r="D511" s="49"/>
      <c r="E511" s="49"/>
    </row>
    <row r="512" spans="1:5">
      <c r="A512" s="49"/>
      <c r="B512" s="49"/>
      <c r="C512" s="49"/>
      <c r="D512" s="49"/>
      <c r="E512" s="49"/>
    </row>
    <row r="513" spans="1:5">
      <c r="A513" s="49"/>
      <c r="B513" s="49"/>
      <c r="C513" s="49"/>
      <c r="D513" s="49"/>
      <c r="E513" s="49"/>
    </row>
    <row r="514" spans="1:5">
      <c r="A514" s="49"/>
      <c r="B514" s="49"/>
      <c r="C514" s="49"/>
      <c r="D514" s="49"/>
      <c r="E514" s="49"/>
    </row>
    <row r="515" spans="1:5">
      <c r="A515" s="49"/>
      <c r="B515" s="49"/>
      <c r="C515" s="49"/>
      <c r="D515" s="49"/>
      <c r="E515" s="49"/>
    </row>
    <row r="516" spans="1:5">
      <c r="A516" s="49"/>
      <c r="B516" s="49"/>
      <c r="C516" s="49"/>
      <c r="D516" s="49"/>
      <c r="E516" s="49"/>
    </row>
    <row r="517" spans="1:5">
      <c r="A517" s="49"/>
      <c r="B517" s="49"/>
      <c r="C517" s="49"/>
      <c r="D517" s="49"/>
      <c r="E517" s="49"/>
    </row>
    <row r="518" spans="1:5">
      <c r="A518" s="49"/>
      <c r="B518" s="49"/>
      <c r="C518" s="49"/>
      <c r="D518" s="49"/>
      <c r="E518" s="49"/>
    </row>
    <row r="519" spans="1:5">
      <c r="A519" s="49"/>
      <c r="B519" s="49"/>
      <c r="C519" s="49"/>
      <c r="D519" s="49"/>
      <c r="E519" s="49"/>
    </row>
    <row r="520" spans="1:5">
      <c r="A520" s="49"/>
      <c r="B520" s="49"/>
      <c r="C520" s="49"/>
      <c r="D520" s="49"/>
      <c r="E520" s="49"/>
    </row>
    <row r="521" spans="1:5">
      <c r="A521" s="49"/>
      <c r="B521" s="49"/>
      <c r="C521" s="49"/>
      <c r="D521" s="49"/>
      <c r="E521" s="49"/>
    </row>
    <row r="522" spans="1:5">
      <c r="A522" s="49"/>
      <c r="B522" s="49"/>
      <c r="C522" s="49"/>
      <c r="D522" s="49"/>
      <c r="E522" s="49"/>
    </row>
    <row r="523" spans="1:5">
      <c r="A523" s="49"/>
      <c r="B523" s="49"/>
      <c r="C523" s="49"/>
      <c r="D523" s="49"/>
      <c r="E523" s="49"/>
    </row>
    <row r="524" spans="1:5">
      <c r="A524" s="49"/>
      <c r="B524" s="49"/>
      <c r="C524" s="49"/>
      <c r="D524" s="49"/>
      <c r="E524" s="49"/>
    </row>
    <row r="525" spans="1:5">
      <c r="A525" s="49"/>
      <c r="B525" s="49"/>
      <c r="C525" s="49"/>
      <c r="D525" s="49"/>
      <c r="E525" s="49"/>
    </row>
    <row r="526" spans="1:5">
      <c r="A526" s="49"/>
      <c r="B526" s="49"/>
      <c r="C526" s="49"/>
      <c r="D526" s="49"/>
      <c r="E526" s="49"/>
    </row>
    <row r="527" spans="1:5">
      <c r="A527" s="49"/>
      <c r="B527" s="49"/>
      <c r="C527" s="49"/>
      <c r="D527" s="49"/>
      <c r="E527" s="49"/>
    </row>
    <row r="528" spans="1:5">
      <c r="A528" s="49"/>
      <c r="B528" s="49"/>
      <c r="C528" s="49"/>
      <c r="D528" s="49"/>
      <c r="E528" s="49"/>
    </row>
    <row r="529" spans="1:5">
      <c r="A529" s="49"/>
      <c r="B529" s="49"/>
      <c r="C529" s="49"/>
      <c r="D529" s="49"/>
      <c r="E529" s="49"/>
    </row>
    <row r="530" spans="1:5">
      <c r="A530" s="49"/>
      <c r="B530" s="49"/>
      <c r="C530" s="49"/>
      <c r="D530" s="49"/>
      <c r="E530" s="49"/>
    </row>
    <row r="531" spans="1:5">
      <c r="A531" s="49"/>
      <c r="B531" s="49"/>
      <c r="C531" s="49"/>
      <c r="D531" s="49"/>
      <c r="E531" s="49"/>
    </row>
    <row r="532" spans="1:5">
      <c r="A532" s="49"/>
      <c r="B532" s="49"/>
      <c r="C532" s="49"/>
      <c r="D532" s="49"/>
      <c r="E532" s="49"/>
    </row>
    <row r="533" spans="1:5">
      <c r="A533" s="49"/>
      <c r="B533" s="49"/>
      <c r="C533" s="49"/>
      <c r="D533" s="49"/>
      <c r="E533" s="49"/>
    </row>
    <row r="534" spans="1:5">
      <c r="A534" s="49"/>
      <c r="B534" s="49"/>
      <c r="C534" s="49"/>
      <c r="D534" s="49"/>
      <c r="E534" s="49"/>
    </row>
    <row r="535" spans="1:5">
      <c r="A535" s="49"/>
      <c r="B535" s="49"/>
      <c r="C535" s="49"/>
      <c r="D535" s="49"/>
      <c r="E535" s="49"/>
    </row>
    <row r="536" spans="1:5">
      <c r="A536" s="49"/>
      <c r="B536" s="49"/>
      <c r="C536" s="49"/>
      <c r="D536" s="49"/>
      <c r="E536" s="49"/>
    </row>
    <row r="537" spans="1:5">
      <c r="A537" s="49"/>
      <c r="B537" s="49"/>
      <c r="C537" s="49"/>
      <c r="D537" s="49"/>
      <c r="E537" s="49"/>
    </row>
    <row r="538" spans="1:5">
      <c r="A538" s="49"/>
      <c r="B538" s="49"/>
      <c r="C538" s="49"/>
      <c r="D538" s="49"/>
      <c r="E538" s="49"/>
    </row>
    <row r="539" spans="1:5">
      <c r="A539" s="49"/>
      <c r="B539" s="49"/>
      <c r="C539" s="49"/>
      <c r="D539" s="49"/>
      <c r="E539" s="49"/>
    </row>
    <row r="540" spans="1:5">
      <c r="A540" s="49"/>
      <c r="B540" s="49"/>
      <c r="C540" s="49"/>
      <c r="D540" s="49"/>
      <c r="E540" s="49"/>
    </row>
    <row r="541" spans="1:5">
      <c r="A541" s="49"/>
      <c r="B541" s="49"/>
      <c r="C541" s="49"/>
      <c r="D541" s="49"/>
      <c r="E541" s="49"/>
    </row>
    <row r="542" spans="1:5">
      <c r="A542" s="49"/>
      <c r="B542" s="49"/>
      <c r="C542" s="49"/>
      <c r="D542" s="49"/>
      <c r="E542" s="49"/>
    </row>
    <row r="543" spans="1:5">
      <c r="A543" s="49"/>
      <c r="B543" s="49"/>
      <c r="C543" s="49"/>
      <c r="D543" s="49"/>
      <c r="E543" s="49"/>
    </row>
    <row r="544" spans="1:5">
      <c r="A544" s="49"/>
      <c r="B544" s="49"/>
      <c r="C544" s="49"/>
      <c r="D544" s="49"/>
      <c r="E544" s="49"/>
    </row>
    <row r="545" spans="1:5">
      <c r="A545" s="49"/>
      <c r="B545" s="49"/>
      <c r="C545" s="49"/>
      <c r="D545" s="49"/>
      <c r="E545" s="49"/>
    </row>
    <row r="546" spans="1:5">
      <c r="A546" s="49"/>
      <c r="B546" s="49"/>
      <c r="C546" s="49"/>
      <c r="D546" s="49"/>
      <c r="E546" s="49"/>
    </row>
    <row r="547" spans="1:5">
      <c r="A547" s="49"/>
      <c r="B547" s="49"/>
      <c r="C547" s="49"/>
      <c r="D547" s="49"/>
      <c r="E547" s="49"/>
    </row>
    <row r="548" spans="1:5">
      <c r="A548" s="49"/>
      <c r="B548" s="49"/>
      <c r="C548" s="49"/>
      <c r="D548" s="49"/>
      <c r="E548" s="49"/>
    </row>
    <row r="549" spans="1:5">
      <c r="A549" s="49"/>
      <c r="B549" s="49"/>
      <c r="C549" s="49"/>
      <c r="D549" s="49"/>
      <c r="E549" s="49"/>
    </row>
    <row r="550" spans="1:5">
      <c r="A550" s="49"/>
      <c r="B550" s="49"/>
      <c r="C550" s="49"/>
      <c r="D550" s="49"/>
      <c r="E550" s="49"/>
    </row>
    <row r="551" spans="1:5">
      <c r="A551" s="49"/>
      <c r="B551" s="49"/>
      <c r="C551" s="49"/>
      <c r="D551" s="49"/>
      <c r="E551" s="49"/>
    </row>
    <row r="552" spans="1:5">
      <c r="A552" s="49"/>
      <c r="B552" s="49"/>
      <c r="C552" s="49"/>
      <c r="D552" s="49"/>
      <c r="E552" s="49"/>
    </row>
    <row r="553" spans="1:5">
      <c r="A553" s="49"/>
      <c r="B553" s="49"/>
      <c r="C553" s="49"/>
      <c r="D553" s="49"/>
      <c r="E553" s="49"/>
    </row>
    <row r="554" spans="1:5">
      <c r="A554" s="49"/>
      <c r="B554" s="49"/>
      <c r="C554" s="49"/>
      <c r="D554" s="49"/>
      <c r="E554" s="49"/>
    </row>
    <row r="555" spans="1:5">
      <c r="A555" s="49"/>
      <c r="B555" s="49"/>
      <c r="C555" s="49"/>
      <c r="D555" s="49"/>
      <c r="E555" s="49"/>
    </row>
    <row r="556" spans="1:5">
      <c r="A556" s="49"/>
      <c r="B556" s="49"/>
      <c r="C556" s="49"/>
      <c r="D556" s="49"/>
      <c r="E556" s="49"/>
    </row>
    <row r="557" spans="1:5">
      <c r="A557" s="49"/>
      <c r="B557" s="49"/>
      <c r="C557" s="49"/>
      <c r="D557" s="49"/>
      <c r="E557" s="49"/>
    </row>
    <row r="558" spans="1:5">
      <c r="A558" s="49"/>
      <c r="B558" s="49"/>
      <c r="C558" s="49"/>
      <c r="D558" s="49"/>
      <c r="E558" s="49"/>
    </row>
    <row r="559" spans="1:5">
      <c r="A559" s="49"/>
      <c r="B559" s="49"/>
      <c r="C559" s="49"/>
      <c r="D559" s="49"/>
      <c r="E559" s="49"/>
    </row>
    <row r="560" spans="1:5">
      <c r="A560" s="49"/>
      <c r="B560" s="49"/>
      <c r="C560" s="49"/>
      <c r="D560" s="49"/>
      <c r="E560" s="49"/>
    </row>
    <row r="561" spans="1:5">
      <c r="A561" s="49"/>
      <c r="B561" s="49"/>
      <c r="C561" s="49"/>
      <c r="D561" s="49"/>
      <c r="E561" s="49"/>
    </row>
    <row r="562" spans="1:5">
      <c r="A562" s="49"/>
      <c r="B562" s="49"/>
      <c r="C562" s="49"/>
      <c r="D562" s="49"/>
      <c r="E562" s="49"/>
    </row>
    <row r="563" spans="1:5">
      <c r="A563" s="49"/>
      <c r="B563" s="49"/>
      <c r="C563" s="49"/>
      <c r="D563" s="49"/>
      <c r="E563" s="49"/>
    </row>
    <row r="564" spans="1:5">
      <c r="A564" s="49"/>
      <c r="B564" s="49"/>
      <c r="C564" s="49"/>
      <c r="D564" s="49"/>
      <c r="E564" s="49"/>
    </row>
    <row r="565" spans="1:5">
      <c r="A565" s="49"/>
      <c r="B565" s="49"/>
      <c r="C565" s="49"/>
      <c r="D565" s="49"/>
      <c r="E565" s="49"/>
    </row>
    <row r="566" spans="1:5">
      <c r="A566" s="49"/>
      <c r="B566" s="49"/>
      <c r="C566" s="49"/>
      <c r="D566" s="49"/>
      <c r="E566" s="49"/>
    </row>
    <row r="567" spans="1:5">
      <c r="A567" s="49"/>
      <c r="B567" s="49"/>
      <c r="C567" s="49"/>
      <c r="D567" s="49"/>
      <c r="E567" s="49"/>
    </row>
    <row r="568" spans="1:5">
      <c r="A568" s="49"/>
      <c r="B568" s="49"/>
      <c r="C568" s="49"/>
      <c r="D568" s="49"/>
      <c r="E568" s="49"/>
    </row>
    <row r="569" spans="1:5">
      <c r="A569" s="49"/>
      <c r="B569" s="49"/>
      <c r="C569" s="49"/>
      <c r="D569" s="49"/>
      <c r="E569" s="49"/>
    </row>
    <row r="570" spans="1:5">
      <c r="A570" s="49"/>
      <c r="B570" s="49"/>
      <c r="C570" s="49"/>
      <c r="D570" s="49"/>
      <c r="E570" s="49"/>
    </row>
    <row r="571" spans="1:5">
      <c r="A571" s="49"/>
      <c r="B571" s="49"/>
      <c r="C571" s="49"/>
      <c r="D571" s="49"/>
      <c r="E571" s="49"/>
    </row>
    <row r="572" spans="1:5">
      <c r="A572" s="49"/>
      <c r="B572" s="49"/>
      <c r="C572" s="49"/>
      <c r="D572" s="49"/>
      <c r="E572" s="49"/>
    </row>
    <row r="573" spans="1:5">
      <c r="A573" s="49"/>
      <c r="B573" s="49"/>
      <c r="C573" s="49"/>
      <c r="D573" s="49"/>
      <c r="E573" s="49"/>
    </row>
    <row r="574" spans="1:5">
      <c r="A574" s="49"/>
      <c r="B574" s="49"/>
      <c r="C574" s="49"/>
      <c r="D574" s="49"/>
      <c r="E574" s="49"/>
    </row>
    <row r="575" spans="1:5">
      <c r="A575" s="49"/>
      <c r="B575" s="49"/>
      <c r="C575" s="49"/>
      <c r="D575" s="49"/>
      <c r="E575" s="49"/>
    </row>
    <row r="576" spans="1:5">
      <c r="A576" s="49"/>
      <c r="B576" s="49"/>
      <c r="C576" s="49"/>
      <c r="D576" s="49"/>
      <c r="E576" s="49"/>
    </row>
    <row r="577" spans="1:5">
      <c r="A577" s="49"/>
      <c r="B577" s="49"/>
      <c r="C577" s="49"/>
      <c r="D577" s="49"/>
      <c r="E577" s="49"/>
    </row>
    <row r="578" spans="1:5">
      <c r="A578" s="49"/>
      <c r="B578" s="49"/>
      <c r="C578" s="49"/>
      <c r="D578" s="49"/>
      <c r="E578" s="49"/>
    </row>
    <row r="579" spans="1:5">
      <c r="A579" s="49"/>
      <c r="B579" s="49"/>
      <c r="C579" s="49"/>
      <c r="D579" s="49"/>
      <c r="E579" s="49"/>
    </row>
    <row r="580" spans="1:5">
      <c r="A580" s="49"/>
      <c r="B580" s="49"/>
      <c r="C580" s="49"/>
      <c r="D580" s="49"/>
      <c r="E580" s="49"/>
    </row>
    <row r="581" spans="1:5">
      <c r="A581" s="49"/>
      <c r="B581" s="49"/>
      <c r="C581" s="49"/>
      <c r="D581" s="49"/>
      <c r="E581" s="49"/>
    </row>
    <row r="582" spans="1:5">
      <c r="A582" s="49"/>
      <c r="B582" s="49"/>
      <c r="C582" s="49"/>
      <c r="D582" s="49"/>
      <c r="E582" s="49"/>
    </row>
    <row r="583" spans="1:5">
      <c r="A583" s="49"/>
      <c r="B583" s="49"/>
      <c r="C583" s="49"/>
      <c r="D583" s="49"/>
      <c r="E583" s="49"/>
    </row>
    <row r="584" spans="1:5">
      <c r="A584" s="49"/>
      <c r="B584" s="49"/>
      <c r="C584" s="49"/>
      <c r="D584" s="49"/>
      <c r="E584" s="49"/>
    </row>
    <row r="585" spans="1:5">
      <c r="A585" s="49"/>
      <c r="B585" s="49"/>
      <c r="C585" s="49"/>
      <c r="D585" s="49"/>
      <c r="E585" s="49"/>
    </row>
    <row r="586" spans="1:5">
      <c r="A586" s="49"/>
      <c r="B586" s="49"/>
      <c r="C586" s="49"/>
      <c r="D586" s="49"/>
      <c r="E586" s="49"/>
    </row>
    <row r="587" spans="1:5">
      <c r="A587" s="49"/>
      <c r="B587" s="49"/>
      <c r="C587" s="49"/>
      <c r="D587" s="49"/>
      <c r="E587" s="49"/>
    </row>
    <row r="588" spans="1:5">
      <c r="A588" s="49"/>
      <c r="B588" s="49"/>
      <c r="C588" s="49"/>
      <c r="D588" s="49"/>
      <c r="E588" s="49"/>
    </row>
    <row r="589" spans="1:5">
      <c r="A589" s="49"/>
      <c r="B589" s="49"/>
      <c r="C589" s="49"/>
      <c r="D589" s="49"/>
      <c r="E589" s="49"/>
    </row>
    <row r="590" spans="1:5">
      <c r="A590" s="49"/>
      <c r="B590" s="49"/>
      <c r="C590" s="49"/>
      <c r="D590" s="49"/>
      <c r="E590" s="49"/>
    </row>
    <row r="591" spans="1:5">
      <c r="A591" s="49"/>
      <c r="B591" s="49"/>
      <c r="C591" s="49"/>
      <c r="D591" s="49"/>
      <c r="E591" s="49"/>
    </row>
    <row r="592" spans="1:5">
      <c r="A592" s="49"/>
      <c r="B592" s="49"/>
      <c r="C592" s="49"/>
      <c r="D592" s="49"/>
      <c r="E592" s="49"/>
    </row>
    <row r="593" spans="1:5">
      <c r="A593" s="49"/>
      <c r="B593" s="49"/>
      <c r="C593" s="49"/>
      <c r="D593" s="49"/>
      <c r="E593" s="49"/>
    </row>
    <row r="594" spans="1:5">
      <c r="A594" s="49"/>
      <c r="B594" s="49"/>
      <c r="C594" s="49"/>
      <c r="D594" s="49"/>
      <c r="E594" s="49"/>
    </row>
    <row r="595" spans="1:5">
      <c r="A595" s="49"/>
      <c r="B595" s="49"/>
      <c r="C595" s="49"/>
      <c r="D595" s="49"/>
      <c r="E595" s="49"/>
    </row>
    <row r="596" spans="1:5">
      <c r="A596" s="49"/>
      <c r="B596" s="49"/>
      <c r="C596" s="49"/>
      <c r="D596" s="49"/>
      <c r="E596" s="49"/>
    </row>
    <row r="597" spans="1:5">
      <c r="A597" s="49"/>
      <c r="B597" s="49"/>
      <c r="C597" s="49"/>
      <c r="D597" s="49"/>
      <c r="E597" s="49"/>
    </row>
    <row r="598" spans="1:5">
      <c r="A598" s="49"/>
      <c r="B598" s="49"/>
      <c r="C598" s="49"/>
      <c r="D598" s="49"/>
      <c r="E598" s="49"/>
    </row>
    <row r="599" spans="1:5">
      <c r="A599" s="49"/>
      <c r="B599" s="49"/>
      <c r="C599" s="49"/>
      <c r="D599" s="49"/>
      <c r="E599" s="49"/>
    </row>
    <row r="600" spans="1:5">
      <c r="A600" s="49"/>
      <c r="B600" s="49"/>
      <c r="C600" s="49"/>
      <c r="D600" s="49"/>
      <c r="E600" s="49"/>
    </row>
    <row r="601" spans="1:5">
      <c r="A601" s="49"/>
      <c r="B601" s="49"/>
      <c r="C601" s="49"/>
      <c r="D601" s="49"/>
      <c r="E601" s="49"/>
    </row>
    <row r="602" spans="1:5">
      <c r="A602" s="49"/>
      <c r="B602" s="49"/>
      <c r="C602" s="49"/>
      <c r="D602" s="49"/>
      <c r="E602" s="49"/>
    </row>
    <row r="603" spans="1:5">
      <c r="A603" s="49"/>
      <c r="B603" s="49"/>
      <c r="C603" s="49"/>
      <c r="D603" s="49"/>
      <c r="E603" s="49"/>
    </row>
    <row r="604" spans="1:5">
      <c r="A604" s="49"/>
      <c r="B604" s="49"/>
      <c r="C604" s="49"/>
      <c r="D604" s="49"/>
      <c r="E604" s="49"/>
    </row>
    <row r="605" spans="1:5">
      <c r="A605" s="49"/>
      <c r="B605" s="49"/>
      <c r="C605" s="49"/>
      <c r="D605" s="49"/>
      <c r="E605" s="49"/>
    </row>
    <row r="606" spans="1:5">
      <c r="A606" s="49"/>
      <c r="B606" s="49"/>
      <c r="C606" s="49"/>
      <c r="D606" s="49"/>
      <c r="E606" s="49"/>
    </row>
    <row r="607" spans="1:5">
      <c r="A607" s="49"/>
      <c r="B607" s="49"/>
      <c r="C607" s="49"/>
      <c r="D607" s="49"/>
      <c r="E607" s="49"/>
    </row>
    <row r="608" spans="1:5">
      <c r="A608" s="49"/>
      <c r="B608" s="49"/>
      <c r="C608" s="49"/>
      <c r="D608" s="49"/>
      <c r="E608" s="49"/>
    </row>
    <row r="609" spans="1:5">
      <c r="A609" s="49"/>
      <c r="B609" s="49"/>
      <c r="C609" s="49"/>
      <c r="D609" s="49"/>
      <c r="E609" s="49"/>
    </row>
    <row r="610" spans="1:5">
      <c r="A610" s="49"/>
      <c r="B610" s="49"/>
      <c r="C610" s="49"/>
      <c r="D610" s="49"/>
      <c r="E610" s="49"/>
    </row>
    <row r="611" spans="1:5">
      <c r="A611" s="49"/>
      <c r="B611" s="49"/>
      <c r="C611" s="49"/>
      <c r="D611" s="49"/>
      <c r="E611" s="49"/>
    </row>
    <row r="612" spans="1:5">
      <c r="A612" s="49"/>
      <c r="B612" s="49"/>
      <c r="C612" s="49"/>
      <c r="D612" s="49"/>
      <c r="E612" s="49"/>
    </row>
    <row r="613" spans="1:5">
      <c r="A613" s="49"/>
      <c r="B613" s="49"/>
      <c r="C613" s="49"/>
      <c r="D613" s="49"/>
      <c r="E613" s="49"/>
    </row>
    <row r="614" spans="1:5">
      <c r="A614" s="49"/>
      <c r="B614" s="49"/>
      <c r="C614" s="49"/>
      <c r="D614" s="49"/>
      <c r="E614" s="49"/>
    </row>
    <row r="615" spans="1:5">
      <c r="A615" s="49"/>
      <c r="B615" s="49"/>
      <c r="C615" s="49"/>
      <c r="D615" s="49"/>
      <c r="E615" s="49"/>
    </row>
    <row r="616" spans="1:5">
      <c r="A616" s="49"/>
      <c r="B616" s="49"/>
      <c r="C616" s="49"/>
      <c r="D616" s="49"/>
      <c r="E616" s="49"/>
    </row>
    <row r="617" spans="1:5">
      <c r="A617" s="49"/>
      <c r="B617" s="49"/>
      <c r="C617" s="49"/>
      <c r="D617" s="49"/>
      <c r="E617" s="49"/>
    </row>
    <row r="618" spans="1:5">
      <c r="A618" s="49"/>
      <c r="B618" s="49"/>
      <c r="C618" s="49"/>
      <c r="D618" s="49"/>
      <c r="E618" s="49"/>
    </row>
    <row r="619" spans="1:5">
      <c r="A619" s="49"/>
      <c r="B619" s="49"/>
      <c r="C619" s="49"/>
      <c r="D619" s="49"/>
      <c r="E619" s="49"/>
    </row>
    <row r="620" spans="1:5">
      <c r="A620" s="49"/>
      <c r="B620" s="49"/>
      <c r="C620" s="49"/>
      <c r="D620" s="49"/>
      <c r="E620" s="49"/>
    </row>
    <row r="621" spans="1:5">
      <c r="A621" s="49"/>
      <c r="B621" s="49"/>
      <c r="C621" s="49"/>
      <c r="D621" s="49"/>
      <c r="E621" s="49"/>
    </row>
    <row r="622" spans="1:5">
      <c r="A622" s="49"/>
      <c r="B622" s="49"/>
      <c r="C622" s="49"/>
      <c r="D622" s="49"/>
      <c r="E622" s="49"/>
    </row>
    <row r="623" spans="1:5">
      <c r="A623" s="49"/>
      <c r="B623" s="49"/>
      <c r="C623" s="49"/>
      <c r="D623" s="49"/>
      <c r="E623" s="49"/>
    </row>
    <row r="624" spans="1:5">
      <c r="A624" s="49"/>
      <c r="B624" s="49"/>
      <c r="C624" s="49"/>
      <c r="D624" s="49"/>
      <c r="E624" s="49"/>
    </row>
    <row r="625" spans="1:5">
      <c r="A625" s="49"/>
      <c r="B625" s="49"/>
      <c r="C625" s="49"/>
      <c r="D625" s="49"/>
      <c r="E625" s="49"/>
    </row>
    <row r="626" spans="1:5">
      <c r="A626" s="49"/>
      <c r="B626" s="49"/>
      <c r="C626" s="49"/>
      <c r="D626" s="49"/>
      <c r="E626" s="49"/>
    </row>
    <row r="627" spans="1:5">
      <c r="A627" s="49"/>
      <c r="B627" s="49"/>
      <c r="C627" s="49"/>
      <c r="D627" s="49"/>
      <c r="E627" s="49"/>
    </row>
    <row r="628" spans="1:5">
      <c r="A628" s="49"/>
      <c r="B628" s="49"/>
      <c r="C628" s="49"/>
      <c r="D628" s="49"/>
      <c r="E628" s="49"/>
    </row>
    <row r="629" spans="1:5">
      <c r="A629" s="49"/>
      <c r="B629" s="49"/>
      <c r="C629" s="49"/>
      <c r="D629" s="49"/>
      <c r="E629" s="49"/>
    </row>
    <row r="630" spans="1:5">
      <c r="A630" s="49"/>
      <c r="B630" s="49"/>
      <c r="C630" s="49"/>
      <c r="D630" s="49"/>
      <c r="E630" s="49"/>
    </row>
    <row r="631" spans="1:5">
      <c r="A631" s="49"/>
      <c r="B631" s="49"/>
      <c r="C631" s="49"/>
      <c r="D631" s="49"/>
      <c r="E631" s="49"/>
    </row>
    <row r="632" spans="1:5">
      <c r="A632" s="49"/>
      <c r="B632" s="49"/>
      <c r="C632" s="49"/>
      <c r="D632" s="49"/>
      <c r="E632" s="49"/>
    </row>
    <row r="633" spans="1:5">
      <c r="A633" s="49"/>
      <c r="B633" s="49"/>
      <c r="C633" s="49"/>
      <c r="D633" s="49"/>
      <c r="E633" s="49"/>
    </row>
    <row r="634" spans="1:5">
      <c r="A634" s="49"/>
      <c r="B634" s="49"/>
      <c r="C634" s="49"/>
      <c r="D634" s="49"/>
      <c r="E634" s="49"/>
    </row>
    <row r="635" spans="1:5">
      <c r="A635" s="49"/>
      <c r="B635" s="49"/>
      <c r="C635" s="49"/>
      <c r="D635" s="49"/>
      <c r="E635" s="49"/>
    </row>
    <row r="636" spans="1:5">
      <c r="A636" s="49"/>
      <c r="B636" s="49"/>
      <c r="C636" s="49"/>
      <c r="D636" s="49"/>
      <c r="E636" s="49"/>
    </row>
    <row r="637" spans="1:5">
      <c r="A637" s="49"/>
      <c r="B637" s="49"/>
      <c r="C637" s="49"/>
      <c r="D637" s="49"/>
      <c r="E637" s="49"/>
    </row>
    <row r="638" spans="1:5">
      <c r="A638" s="49"/>
      <c r="B638" s="49"/>
      <c r="C638" s="49"/>
      <c r="D638" s="49"/>
      <c r="E638" s="49"/>
    </row>
    <row r="639" spans="1:5">
      <c r="A639" s="49"/>
      <c r="B639" s="49"/>
      <c r="C639" s="49"/>
      <c r="D639" s="49"/>
      <c r="E639" s="49"/>
    </row>
    <row r="640" spans="1:5">
      <c r="A640" s="49"/>
      <c r="B640" s="49"/>
      <c r="C640" s="49"/>
      <c r="D640" s="49"/>
      <c r="E640" s="49"/>
    </row>
    <row r="641" spans="1:5">
      <c r="A641" s="49"/>
      <c r="B641" s="49"/>
      <c r="C641" s="49"/>
      <c r="D641" s="49"/>
      <c r="E641" s="49"/>
    </row>
    <row r="642" spans="1:5">
      <c r="A642" s="49"/>
      <c r="B642" s="49"/>
      <c r="C642" s="49"/>
      <c r="D642" s="49"/>
      <c r="E642" s="49"/>
    </row>
    <row r="643" spans="1:5">
      <c r="A643" s="49"/>
      <c r="B643" s="49"/>
      <c r="C643" s="49"/>
      <c r="D643" s="49"/>
      <c r="E643" s="49"/>
    </row>
    <row r="644" spans="1:5">
      <c r="A644" s="49"/>
      <c r="B644" s="49"/>
      <c r="C644" s="49"/>
      <c r="D644" s="49"/>
      <c r="E644" s="49"/>
    </row>
    <row r="645" spans="1:5">
      <c r="A645" s="49"/>
      <c r="B645" s="49"/>
      <c r="C645" s="49"/>
      <c r="D645" s="49"/>
      <c r="E645" s="49"/>
    </row>
    <row r="646" spans="1:5">
      <c r="A646" s="49"/>
      <c r="B646" s="49"/>
      <c r="C646" s="49"/>
      <c r="D646" s="49"/>
      <c r="E646" s="49"/>
    </row>
    <row r="647" spans="1:5">
      <c r="A647" s="49"/>
      <c r="B647" s="49"/>
      <c r="C647" s="49"/>
      <c r="D647" s="49"/>
      <c r="E647" s="49"/>
    </row>
    <row r="648" spans="1:5">
      <c r="A648" s="49"/>
      <c r="B648" s="49"/>
      <c r="C648" s="49"/>
      <c r="D648" s="49"/>
      <c r="E648" s="49"/>
    </row>
    <row r="649" spans="1:5">
      <c r="A649" s="49"/>
      <c r="B649" s="49"/>
      <c r="C649" s="49"/>
      <c r="D649" s="49"/>
      <c r="E649" s="49"/>
    </row>
    <row r="650" spans="1:5">
      <c r="A650" s="49"/>
      <c r="B650" s="49"/>
      <c r="C650" s="49"/>
      <c r="D650" s="49"/>
      <c r="E650" s="49"/>
    </row>
    <row r="651" spans="1:5">
      <c r="A651" s="49"/>
      <c r="B651" s="49"/>
      <c r="C651" s="49"/>
      <c r="D651" s="49"/>
      <c r="E651" s="49"/>
    </row>
    <row r="652" spans="1:5">
      <c r="A652" s="49"/>
      <c r="B652" s="49"/>
      <c r="C652" s="49"/>
      <c r="D652" s="49"/>
      <c r="E652" s="49"/>
    </row>
    <row r="653" spans="1:5">
      <c r="A653" s="49"/>
      <c r="B653" s="49"/>
      <c r="C653" s="49"/>
      <c r="D653" s="49"/>
      <c r="E653" s="49"/>
    </row>
    <row r="654" spans="1:5">
      <c r="A654" s="49"/>
      <c r="B654" s="49"/>
      <c r="C654" s="49"/>
      <c r="D654" s="49"/>
      <c r="E654" s="49"/>
    </row>
    <row r="655" spans="1:5">
      <c r="A655" s="49"/>
      <c r="B655" s="49"/>
      <c r="C655" s="49"/>
      <c r="D655" s="49"/>
      <c r="E655" s="49"/>
    </row>
    <row r="656" spans="1:5">
      <c r="A656" s="49"/>
      <c r="B656" s="49"/>
      <c r="C656" s="49"/>
      <c r="D656" s="49"/>
      <c r="E656" s="49"/>
    </row>
    <row r="657" spans="1:5">
      <c r="A657" s="49"/>
      <c r="B657" s="49"/>
      <c r="C657" s="49"/>
      <c r="D657" s="49"/>
      <c r="E657" s="49"/>
    </row>
    <row r="658" spans="1:5">
      <c r="A658" s="49"/>
      <c r="B658" s="49"/>
      <c r="C658" s="49"/>
      <c r="D658" s="49"/>
      <c r="E658" s="49"/>
    </row>
    <row r="659" spans="1:5">
      <c r="A659" s="49"/>
      <c r="B659" s="49"/>
      <c r="C659" s="49"/>
      <c r="D659" s="49"/>
      <c r="E659" s="49"/>
    </row>
    <row r="660" spans="1:5">
      <c r="A660" s="49"/>
      <c r="B660" s="49"/>
      <c r="C660" s="49"/>
      <c r="D660" s="49"/>
      <c r="E660" s="49"/>
    </row>
    <row r="661" spans="1:5">
      <c r="A661" s="49"/>
      <c r="B661" s="49"/>
      <c r="C661" s="49"/>
      <c r="D661" s="49"/>
      <c r="E661" s="49"/>
    </row>
    <row r="662" spans="1:5">
      <c r="A662" s="49"/>
      <c r="B662" s="49"/>
      <c r="C662" s="49"/>
      <c r="D662" s="49"/>
      <c r="E662" s="49"/>
    </row>
    <row r="663" spans="1:5">
      <c r="A663" s="49"/>
      <c r="B663" s="49"/>
      <c r="C663" s="49"/>
      <c r="D663" s="49"/>
      <c r="E663" s="49"/>
    </row>
    <row r="664" spans="1:5">
      <c r="A664" s="49"/>
      <c r="B664" s="49"/>
      <c r="C664" s="49"/>
      <c r="D664" s="49"/>
      <c r="E664" s="49"/>
    </row>
    <row r="665" spans="1:5">
      <c r="A665" s="49"/>
      <c r="B665" s="49"/>
      <c r="C665" s="49"/>
      <c r="D665" s="49"/>
      <c r="E665" s="49"/>
    </row>
    <row r="666" spans="1:5">
      <c r="A666" s="49"/>
      <c r="B666" s="49"/>
      <c r="C666" s="49"/>
      <c r="D666" s="49"/>
      <c r="E666" s="49"/>
    </row>
    <row r="667" spans="1:5">
      <c r="A667" s="49"/>
      <c r="B667" s="49"/>
      <c r="C667" s="49"/>
      <c r="D667" s="49"/>
      <c r="E667" s="49"/>
    </row>
    <row r="668" spans="1:5">
      <c r="A668" s="49"/>
      <c r="B668" s="49"/>
      <c r="C668" s="49"/>
      <c r="D668" s="49"/>
      <c r="E668" s="49"/>
    </row>
    <row r="669" spans="1:5">
      <c r="A669" s="49"/>
      <c r="B669" s="49"/>
      <c r="C669" s="49"/>
      <c r="D669" s="49"/>
      <c r="E669" s="49"/>
    </row>
    <row r="670" spans="1:5">
      <c r="A670" s="49"/>
      <c r="B670" s="49"/>
      <c r="C670" s="49"/>
      <c r="D670" s="49"/>
      <c r="E670" s="49"/>
    </row>
    <row r="671" spans="1:5">
      <c r="A671" s="49"/>
      <c r="B671" s="49"/>
      <c r="C671" s="49"/>
      <c r="D671" s="49"/>
      <c r="E671" s="49"/>
    </row>
    <row r="672" spans="1:5">
      <c r="A672" s="49"/>
      <c r="B672" s="49"/>
      <c r="C672" s="49"/>
      <c r="D672" s="49"/>
      <c r="E672" s="49"/>
    </row>
    <row r="673" spans="1:5">
      <c r="A673" s="49"/>
      <c r="B673" s="49"/>
      <c r="C673" s="49"/>
      <c r="D673" s="49"/>
      <c r="E673" s="49"/>
    </row>
    <row r="674" spans="1:5">
      <c r="A674" s="49"/>
      <c r="B674" s="49"/>
      <c r="C674" s="49"/>
      <c r="D674" s="49"/>
      <c r="E674" s="49"/>
    </row>
    <row r="675" spans="1:5">
      <c r="A675" s="49"/>
      <c r="B675" s="49"/>
      <c r="C675" s="49"/>
      <c r="D675" s="49"/>
      <c r="E675" s="49"/>
    </row>
    <row r="676" spans="1:5">
      <c r="A676" s="49"/>
      <c r="B676" s="49"/>
      <c r="C676" s="49"/>
      <c r="D676" s="49"/>
      <c r="E676" s="49"/>
    </row>
    <row r="677" spans="1:5">
      <c r="A677" s="49"/>
      <c r="B677" s="49"/>
      <c r="C677" s="49"/>
      <c r="D677" s="49"/>
      <c r="E677" s="49"/>
    </row>
    <row r="678" spans="1:5">
      <c r="A678" s="49"/>
      <c r="B678" s="49"/>
      <c r="C678" s="49"/>
      <c r="D678" s="49"/>
      <c r="E678" s="49"/>
    </row>
    <row r="679" spans="1:5">
      <c r="A679" s="49"/>
      <c r="B679" s="49"/>
      <c r="C679" s="49"/>
      <c r="D679" s="49"/>
      <c r="E679" s="49"/>
    </row>
    <row r="680" spans="1:5">
      <c r="A680" s="49"/>
      <c r="B680" s="49"/>
      <c r="C680" s="49"/>
      <c r="D680" s="49"/>
      <c r="E680" s="49"/>
    </row>
    <row r="681" spans="1:5">
      <c r="A681" s="49"/>
      <c r="B681" s="49"/>
      <c r="C681" s="49"/>
      <c r="D681" s="49"/>
      <c r="E681" s="49"/>
    </row>
    <row r="682" spans="1:5">
      <c r="A682" s="49"/>
      <c r="B682" s="49"/>
      <c r="C682" s="49"/>
      <c r="D682" s="49"/>
      <c r="E682" s="49"/>
    </row>
    <row r="683" spans="1:5">
      <c r="A683" s="49"/>
      <c r="B683" s="49"/>
      <c r="C683" s="49"/>
      <c r="D683" s="49"/>
      <c r="E683" s="49"/>
    </row>
    <row r="684" spans="1:5">
      <c r="A684" s="49"/>
      <c r="B684" s="49"/>
      <c r="C684" s="49"/>
      <c r="D684" s="49"/>
      <c r="E684" s="49"/>
    </row>
    <row r="685" spans="1:5">
      <c r="A685" s="49"/>
      <c r="B685" s="49"/>
      <c r="C685" s="49"/>
      <c r="D685" s="49"/>
      <c r="E685" s="49"/>
    </row>
    <row r="686" spans="1:5">
      <c r="A686" s="49"/>
      <c r="B686" s="49"/>
      <c r="C686" s="49"/>
      <c r="D686" s="49"/>
      <c r="E686" s="49"/>
    </row>
    <row r="687" spans="1:5">
      <c r="A687" s="49"/>
      <c r="B687" s="49"/>
      <c r="C687" s="49"/>
      <c r="D687" s="49"/>
      <c r="E687" s="49"/>
    </row>
    <row r="688" spans="1:5">
      <c r="A688" s="49"/>
      <c r="B688" s="49"/>
      <c r="C688" s="49"/>
      <c r="D688" s="49"/>
      <c r="E688" s="49"/>
    </row>
    <row r="689" spans="1:5">
      <c r="A689" s="49"/>
      <c r="B689" s="49"/>
      <c r="C689" s="49"/>
      <c r="D689" s="49"/>
      <c r="E689" s="49"/>
    </row>
    <row r="690" spans="1:5">
      <c r="A690" s="49"/>
      <c r="B690" s="49"/>
      <c r="C690" s="49"/>
      <c r="D690" s="49"/>
      <c r="E690" s="49"/>
    </row>
    <row r="691" spans="1:5">
      <c r="A691" s="49"/>
      <c r="B691" s="49"/>
      <c r="C691" s="49"/>
      <c r="D691" s="49"/>
      <c r="E691" s="49"/>
    </row>
    <row r="692" spans="1:5">
      <c r="A692" s="49"/>
      <c r="B692" s="49"/>
      <c r="C692" s="49"/>
      <c r="D692" s="49"/>
      <c r="E692" s="49"/>
    </row>
    <row r="693" spans="1:5">
      <c r="A693" s="49"/>
      <c r="B693" s="49"/>
      <c r="C693" s="49"/>
      <c r="D693" s="49"/>
      <c r="E693" s="49"/>
    </row>
    <row r="694" spans="1:5">
      <c r="A694" s="49"/>
      <c r="B694" s="49"/>
      <c r="C694" s="49"/>
      <c r="D694" s="49"/>
      <c r="E694" s="49"/>
    </row>
    <row r="695" spans="1:5">
      <c r="A695" s="49"/>
      <c r="B695" s="49"/>
      <c r="C695" s="49"/>
      <c r="D695" s="49"/>
      <c r="E695" s="49"/>
    </row>
    <row r="696" spans="1:5">
      <c r="A696" s="49"/>
      <c r="B696" s="49"/>
      <c r="C696" s="49"/>
      <c r="D696" s="49"/>
      <c r="E696" s="49"/>
    </row>
    <row r="697" spans="1:5">
      <c r="A697" s="49"/>
      <c r="B697" s="49"/>
      <c r="C697" s="49"/>
      <c r="D697" s="49"/>
      <c r="E697" s="49"/>
    </row>
    <row r="698" spans="1:5">
      <c r="A698" s="49"/>
      <c r="B698" s="49"/>
      <c r="C698" s="49"/>
      <c r="D698" s="49"/>
      <c r="E698" s="49"/>
    </row>
    <row r="699" spans="1:5">
      <c r="A699" s="49"/>
      <c r="B699" s="49"/>
      <c r="C699" s="49"/>
      <c r="D699" s="49"/>
      <c r="E699" s="49"/>
    </row>
    <row r="700" spans="1:5">
      <c r="A700" s="49"/>
      <c r="B700" s="49"/>
      <c r="C700" s="49"/>
      <c r="D700" s="49"/>
      <c r="E700" s="49"/>
    </row>
    <row r="701" spans="1:5">
      <c r="A701" s="49"/>
      <c r="B701" s="49"/>
      <c r="C701" s="49"/>
      <c r="D701" s="49"/>
      <c r="E701" s="49"/>
    </row>
    <row r="702" spans="1:5">
      <c r="A702" s="49"/>
      <c r="B702" s="49"/>
      <c r="C702" s="49"/>
      <c r="D702" s="49"/>
      <c r="E702" s="49"/>
    </row>
    <row r="703" spans="1:5">
      <c r="A703" s="49"/>
      <c r="B703" s="49"/>
      <c r="C703" s="49"/>
      <c r="D703" s="49"/>
      <c r="E703" s="49"/>
    </row>
    <row r="704" spans="1:5">
      <c r="A704" s="49"/>
      <c r="B704" s="49"/>
      <c r="C704" s="49"/>
      <c r="D704" s="49"/>
      <c r="E704" s="49"/>
    </row>
    <row r="705" spans="1:5">
      <c r="A705" s="49"/>
      <c r="B705" s="49"/>
      <c r="C705" s="49"/>
      <c r="D705" s="49"/>
      <c r="E705" s="49"/>
    </row>
    <row r="706" spans="1:5">
      <c r="A706" s="49"/>
      <c r="B706" s="49"/>
      <c r="C706" s="49"/>
      <c r="D706" s="49"/>
      <c r="E706" s="49"/>
    </row>
    <row r="707" spans="1:5">
      <c r="A707" s="49"/>
      <c r="B707" s="49"/>
      <c r="C707" s="49"/>
      <c r="D707" s="49"/>
      <c r="E707" s="49"/>
    </row>
    <row r="708" spans="1:5">
      <c r="A708" s="49"/>
      <c r="B708" s="49"/>
      <c r="C708" s="49"/>
      <c r="D708" s="49"/>
      <c r="E708" s="49"/>
    </row>
    <row r="709" spans="1:5">
      <c r="A709" s="49"/>
      <c r="B709" s="49"/>
      <c r="C709" s="49"/>
      <c r="D709" s="49"/>
      <c r="E709" s="49"/>
    </row>
    <row r="710" spans="1:5">
      <c r="A710" s="49"/>
      <c r="B710" s="49"/>
      <c r="C710" s="49"/>
      <c r="D710" s="49"/>
      <c r="E710" s="49"/>
    </row>
    <row r="711" spans="1:5">
      <c r="A711" s="49"/>
      <c r="B711" s="49"/>
      <c r="C711" s="49"/>
      <c r="D711" s="49"/>
      <c r="E711" s="49"/>
    </row>
    <row r="712" spans="1:5">
      <c r="A712" s="49"/>
      <c r="B712" s="49"/>
      <c r="C712" s="49"/>
      <c r="D712" s="49"/>
      <c r="E712" s="49"/>
    </row>
    <row r="713" spans="1:5">
      <c r="A713" s="49"/>
      <c r="B713" s="49"/>
      <c r="C713" s="49"/>
      <c r="D713" s="49"/>
      <c r="E713" s="49"/>
    </row>
    <row r="714" spans="1:5">
      <c r="A714" s="49"/>
      <c r="B714" s="49"/>
      <c r="C714" s="49"/>
      <c r="D714" s="49"/>
      <c r="E714" s="49"/>
    </row>
    <row r="715" spans="1:5">
      <c r="A715" s="49"/>
      <c r="B715" s="49"/>
      <c r="C715" s="49"/>
      <c r="D715" s="49"/>
      <c r="E715" s="49"/>
    </row>
    <row r="716" spans="1:5">
      <c r="A716" s="49"/>
      <c r="B716" s="49"/>
      <c r="C716" s="49"/>
      <c r="D716" s="49"/>
      <c r="E716" s="49"/>
    </row>
    <row r="717" spans="1:5">
      <c r="A717" s="49"/>
      <c r="B717" s="49"/>
      <c r="C717" s="49"/>
      <c r="D717" s="49"/>
      <c r="E717" s="49"/>
    </row>
    <row r="718" spans="1:5">
      <c r="A718" s="49"/>
      <c r="B718" s="49"/>
      <c r="C718" s="49"/>
      <c r="D718" s="49"/>
      <c r="E718" s="49"/>
    </row>
    <row r="719" spans="1:5">
      <c r="A719" s="49"/>
      <c r="B719" s="49"/>
      <c r="C719" s="49"/>
      <c r="D719" s="49"/>
      <c r="E719" s="49"/>
    </row>
    <row r="720" spans="1:5">
      <c r="A720" s="49"/>
      <c r="B720" s="49"/>
      <c r="C720" s="49"/>
      <c r="D720" s="49"/>
      <c r="E720" s="49"/>
    </row>
    <row r="721" spans="1:5">
      <c r="A721" s="49"/>
      <c r="B721" s="49"/>
      <c r="C721" s="49"/>
      <c r="D721" s="49"/>
      <c r="E721" s="49"/>
    </row>
    <row r="722" spans="1:5">
      <c r="A722" s="49"/>
      <c r="B722" s="49"/>
      <c r="C722" s="49"/>
      <c r="D722" s="49"/>
      <c r="E722" s="49"/>
    </row>
    <row r="723" spans="1:5">
      <c r="A723" s="49"/>
      <c r="B723" s="49"/>
      <c r="C723" s="49"/>
      <c r="D723" s="49"/>
      <c r="E723" s="49"/>
    </row>
    <row r="724" spans="1:5">
      <c r="A724" s="49"/>
      <c r="B724" s="49"/>
      <c r="C724" s="49"/>
      <c r="D724" s="49"/>
      <c r="E724" s="49"/>
    </row>
    <row r="725" spans="1:5">
      <c r="A725" s="49"/>
      <c r="B725" s="49"/>
      <c r="C725" s="49"/>
      <c r="D725" s="49"/>
      <c r="E725" s="49"/>
    </row>
    <row r="726" spans="1:5">
      <c r="A726" s="49"/>
      <c r="B726" s="49"/>
      <c r="C726" s="49"/>
      <c r="D726" s="49"/>
      <c r="E726" s="49"/>
    </row>
    <row r="727" spans="1:5">
      <c r="A727" s="49"/>
      <c r="B727" s="49"/>
      <c r="C727" s="49"/>
      <c r="D727" s="49"/>
      <c r="E727" s="49"/>
    </row>
    <row r="728" spans="1:5">
      <c r="A728" s="49"/>
      <c r="B728" s="49"/>
      <c r="C728" s="49"/>
      <c r="D728" s="49"/>
      <c r="E728" s="49"/>
    </row>
    <row r="729" spans="1:5">
      <c r="A729" s="49"/>
      <c r="B729" s="49"/>
      <c r="C729" s="49"/>
      <c r="D729" s="49"/>
      <c r="E729" s="49"/>
    </row>
    <row r="730" spans="1:5">
      <c r="A730" s="49"/>
      <c r="B730" s="49"/>
      <c r="C730" s="49"/>
      <c r="D730" s="49"/>
      <c r="E730" s="49"/>
    </row>
    <row r="731" spans="1:5">
      <c r="A731" s="49"/>
      <c r="B731" s="49"/>
      <c r="C731" s="49"/>
      <c r="D731" s="49"/>
      <c r="E731" s="49"/>
    </row>
    <row r="732" spans="1:5">
      <c r="A732" s="49"/>
      <c r="B732" s="49"/>
      <c r="C732" s="49"/>
      <c r="D732" s="49"/>
      <c r="E732" s="49"/>
    </row>
    <row r="733" spans="1:5">
      <c r="A733" s="49"/>
      <c r="B733" s="49"/>
      <c r="C733" s="49"/>
      <c r="D733" s="49"/>
      <c r="E733" s="49"/>
    </row>
    <row r="734" spans="1:5">
      <c r="A734" s="49"/>
      <c r="B734" s="49"/>
      <c r="C734" s="49"/>
      <c r="D734" s="49"/>
      <c r="E734" s="49"/>
    </row>
    <row r="735" spans="1:5">
      <c r="A735" s="49"/>
      <c r="B735" s="49"/>
      <c r="C735" s="49"/>
      <c r="D735" s="49"/>
      <c r="E735" s="49"/>
    </row>
    <row r="736" spans="1:5">
      <c r="A736" s="49"/>
      <c r="B736" s="49"/>
      <c r="C736" s="49"/>
      <c r="D736" s="49"/>
      <c r="E736" s="49"/>
    </row>
    <row r="737" spans="1:5">
      <c r="A737" s="49"/>
      <c r="B737" s="49"/>
      <c r="C737" s="49"/>
      <c r="D737" s="49"/>
      <c r="E737" s="49"/>
    </row>
    <row r="738" spans="1:5">
      <c r="A738" s="49"/>
      <c r="B738" s="49"/>
      <c r="C738" s="49"/>
      <c r="D738" s="49"/>
      <c r="E738" s="49"/>
    </row>
    <row r="739" spans="1:5">
      <c r="A739" s="49"/>
      <c r="B739" s="49"/>
      <c r="C739" s="49"/>
      <c r="D739" s="49"/>
      <c r="E739" s="49"/>
    </row>
    <row r="740" spans="1:5">
      <c r="A740" s="49"/>
      <c r="B740" s="49"/>
      <c r="C740" s="49"/>
      <c r="D740" s="49"/>
      <c r="E740" s="49"/>
    </row>
    <row r="741" spans="1:5">
      <c r="A741" s="49"/>
      <c r="B741" s="49"/>
      <c r="C741" s="49"/>
      <c r="D741" s="49"/>
      <c r="E741" s="49"/>
    </row>
    <row r="742" spans="1:5">
      <c r="A742" s="49"/>
      <c r="B742" s="49"/>
      <c r="C742" s="49"/>
      <c r="D742" s="49"/>
      <c r="E742" s="49"/>
    </row>
    <row r="743" spans="1:5">
      <c r="A743" s="49"/>
      <c r="B743" s="49"/>
      <c r="C743" s="49"/>
      <c r="D743" s="49"/>
      <c r="E743" s="49"/>
    </row>
    <row r="744" spans="1:5">
      <c r="A744" s="49"/>
      <c r="B744" s="49"/>
      <c r="C744" s="49"/>
      <c r="D744" s="49"/>
      <c r="E744" s="49"/>
    </row>
    <row r="745" spans="1:5">
      <c r="A745" s="49"/>
      <c r="B745" s="49"/>
      <c r="C745" s="49"/>
      <c r="D745" s="49"/>
      <c r="E745" s="49"/>
    </row>
    <row r="746" spans="1:5">
      <c r="A746" s="49"/>
      <c r="B746" s="49"/>
      <c r="C746" s="49"/>
      <c r="D746" s="49"/>
      <c r="E746" s="49"/>
    </row>
    <row r="747" spans="1:5">
      <c r="A747" s="49"/>
      <c r="B747" s="49"/>
      <c r="C747" s="49"/>
      <c r="D747" s="49"/>
      <c r="E747" s="49"/>
    </row>
    <row r="748" spans="1:5">
      <c r="A748" s="49"/>
      <c r="B748" s="49"/>
      <c r="C748" s="49"/>
      <c r="D748" s="49"/>
      <c r="E748" s="49"/>
    </row>
    <row r="749" spans="1:5">
      <c r="A749" s="49"/>
      <c r="B749" s="49"/>
      <c r="C749" s="49"/>
      <c r="D749" s="49"/>
      <c r="E749" s="49"/>
    </row>
    <row r="750" spans="1:5">
      <c r="A750" s="49"/>
      <c r="B750" s="49"/>
      <c r="C750" s="49"/>
      <c r="D750" s="49"/>
      <c r="E750" s="49"/>
    </row>
    <row r="751" spans="1:5">
      <c r="A751" s="49"/>
      <c r="B751" s="49"/>
      <c r="C751" s="49"/>
      <c r="D751" s="49"/>
      <c r="E751" s="49"/>
    </row>
    <row r="752" spans="1:5">
      <c r="A752" s="49"/>
      <c r="B752" s="49"/>
      <c r="C752" s="49"/>
      <c r="D752" s="49"/>
      <c r="E752" s="49"/>
    </row>
    <row r="753" spans="1:5">
      <c r="A753" s="49"/>
      <c r="B753" s="49"/>
      <c r="C753" s="49"/>
      <c r="D753" s="49"/>
      <c r="E753" s="49"/>
    </row>
    <row r="754" spans="1:5">
      <c r="A754" s="49"/>
      <c r="B754" s="49"/>
      <c r="C754" s="49"/>
      <c r="D754" s="49"/>
      <c r="E754" s="49"/>
    </row>
    <row r="755" spans="1:5">
      <c r="A755" s="49"/>
      <c r="B755" s="49"/>
      <c r="C755" s="49"/>
      <c r="D755" s="49"/>
      <c r="E755" s="49"/>
    </row>
    <row r="756" spans="1:5">
      <c r="A756" s="49"/>
      <c r="B756" s="49"/>
      <c r="C756" s="49"/>
      <c r="D756" s="49"/>
      <c r="E756" s="49"/>
    </row>
    <row r="757" spans="1:5">
      <c r="A757" s="49"/>
      <c r="B757" s="49"/>
      <c r="C757" s="49"/>
      <c r="D757" s="49"/>
      <c r="E757" s="49"/>
    </row>
    <row r="758" spans="1:5">
      <c r="A758" s="49"/>
      <c r="B758" s="49"/>
      <c r="C758" s="49"/>
      <c r="D758" s="49"/>
      <c r="E758" s="49"/>
    </row>
    <row r="759" spans="1:5">
      <c r="A759" s="49"/>
      <c r="B759" s="49"/>
      <c r="C759" s="49"/>
      <c r="D759" s="49"/>
      <c r="E759" s="49"/>
    </row>
    <row r="760" spans="1:5">
      <c r="A760" s="49"/>
      <c r="B760" s="49"/>
      <c r="C760" s="49"/>
      <c r="D760" s="49"/>
      <c r="E760" s="49"/>
    </row>
    <row r="761" spans="1:5">
      <c r="A761" s="49"/>
      <c r="B761" s="49"/>
      <c r="C761" s="49"/>
      <c r="D761" s="49"/>
      <c r="E761" s="49"/>
    </row>
    <row r="762" spans="1:5">
      <c r="A762" s="49"/>
      <c r="B762" s="49"/>
      <c r="C762" s="49"/>
      <c r="D762" s="49"/>
      <c r="E762" s="49"/>
    </row>
    <row r="763" spans="1:5">
      <c r="A763" s="49"/>
      <c r="B763" s="49"/>
      <c r="C763" s="49"/>
      <c r="D763" s="49"/>
      <c r="E763" s="49"/>
    </row>
    <row r="764" spans="1:5">
      <c r="A764" s="49"/>
      <c r="B764" s="49"/>
      <c r="C764" s="49"/>
      <c r="D764" s="49"/>
      <c r="E764" s="49"/>
    </row>
    <row r="765" spans="1:5">
      <c r="A765" s="49"/>
      <c r="B765" s="49"/>
      <c r="C765" s="49"/>
      <c r="D765" s="49"/>
      <c r="E765" s="49"/>
    </row>
    <row r="766" spans="1:5">
      <c r="A766" s="49"/>
      <c r="B766" s="49"/>
      <c r="C766" s="49"/>
      <c r="D766" s="49"/>
      <c r="E766" s="49"/>
    </row>
    <row r="767" spans="1:5">
      <c r="A767" s="49"/>
      <c r="B767" s="49"/>
      <c r="C767" s="49"/>
      <c r="D767" s="49"/>
      <c r="E767" s="49"/>
    </row>
    <row r="768" spans="1:5">
      <c r="A768" s="49"/>
      <c r="B768" s="49"/>
      <c r="C768" s="49"/>
      <c r="D768" s="49"/>
      <c r="E768" s="49"/>
    </row>
    <row r="769" spans="1:5">
      <c r="A769" s="49"/>
      <c r="B769" s="49"/>
      <c r="C769" s="49"/>
      <c r="D769" s="49"/>
      <c r="E769" s="49"/>
    </row>
    <row r="770" spans="1:5">
      <c r="A770" s="49"/>
      <c r="B770" s="49"/>
      <c r="C770" s="49"/>
      <c r="D770" s="49"/>
      <c r="E770" s="49"/>
    </row>
    <row r="771" spans="1:5">
      <c r="A771" s="49"/>
      <c r="B771" s="49"/>
      <c r="C771" s="49"/>
      <c r="D771" s="49"/>
      <c r="E771" s="49"/>
    </row>
    <row r="772" spans="1:5">
      <c r="A772" s="49"/>
      <c r="B772" s="49"/>
      <c r="C772" s="49"/>
      <c r="D772" s="49"/>
      <c r="E772" s="49"/>
    </row>
    <row r="773" spans="1:5">
      <c r="A773" s="49"/>
      <c r="B773" s="49"/>
      <c r="C773" s="49"/>
      <c r="D773" s="49"/>
      <c r="E773" s="49"/>
    </row>
    <row r="774" spans="1:5">
      <c r="A774" s="49"/>
      <c r="B774" s="49"/>
      <c r="C774" s="49"/>
      <c r="D774" s="49"/>
      <c r="E774" s="49"/>
    </row>
    <row r="775" spans="1:5">
      <c r="A775" s="49"/>
      <c r="B775" s="49"/>
      <c r="C775" s="49"/>
      <c r="D775" s="49"/>
      <c r="E775" s="49"/>
    </row>
    <row r="776" spans="1:5">
      <c r="A776" s="49"/>
      <c r="B776" s="49"/>
      <c r="C776" s="49"/>
      <c r="D776" s="49"/>
      <c r="E776" s="49"/>
    </row>
    <row r="777" spans="1:5">
      <c r="A777" s="49"/>
      <c r="B777" s="49"/>
      <c r="C777" s="49"/>
      <c r="D777" s="49"/>
      <c r="E777" s="49"/>
    </row>
    <row r="778" spans="1:5">
      <c r="A778" s="49"/>
      <c r="B778" s="49"/>
      <c r="C778" s="49"/>
      <c r="D778" s="49"/>
      <c r="E778" s="49"/>
    </row>
    <row r="779" spans="1:5">
      <c r="A779" s="49"/>
      <c r="B779" s="49"/>
      <c r="C779" s="49"/>
      <c r="D779" s="49"/>
      <c r="E779" s="49"/>
    </row>
    <row r="780" spans="1:5">
      <c r="A780" s="49"/>
      <c r="B780" s="49"/>
      <c r="C780" s="49"/>
      <c r="D780" s="49"/>
      <c r="E780" s="49"/>
    </row>
    <row r="781" spans="1:5">
      <c r="A781" s="49"/>
      <c r="B781" s="49"/>
      <c r="C781" s="49"/>
      <c r="D781" s="49"/>
      <c r="E781" s="49"/>
    </row>
    <row r="782" spans="1:5">
      <c r="A782" s="49"/>
      <c r="B782" s="49"/>
      <c r="C782" s="49"/>
      <c r="D782" s="49"/>
      <c r="E782" s="49"/>
    </row>
    <row r="783" spans="1:5">
      <c r="A783" s="49"/>
      <c r="B783" s="49"/>
      <c r="C783" s="49"/>
      <c r="D783" s="49"/>
      <c r="E783" s="49"/>
    </row>
    <row r="784" spans="1:5">
      <c r="A784" s="49"/>
      <c r="B784" s="49"/>
      <c r="C784" s="49"/>
      <c r="D784" s="49"/>
      <c r="E784" s="49"/>
    </row>
    <row r="785" spans="1:5">
      <c r="A785" s="49"/>
      <c r="B785" s="49"/>
      <c r="C785" s="49"/>
      <c r="D785" s="49"/>
      <c r="E785" s="49"/>
    </row>
    <row r="786" spans="1:5">
      <c r="A786" s="49"/>
      <c r="B786" s="49"/>
      <c r="C786" s="49"/>
      <c r="D786" s="49"/>
      <c r="E786" s="49"/>
    </row>
    <row r="787" spans="1:5">
      <c r="A787" s="49"/>
      <c r="B787" s="49"/>
      <c r="C787" s="49"/>
      <c r="D787" s="49"/>
      <c r="E787" s="49"/>
    </row>
    <row r="788" spans="1:5">
      <c r="A788" s="49"/>
      <c r="B788" s="49"/>
      <c r="C788" s="49"/>
      <c r="D788" s="49"/>
      <c r="E788" s="49"/>
    </row>
    <row r="789" spans="1:5">
      <c r="A789" s="49"/>
      <c r="B789" s="49"/>
      <c r="C789" s="49"/>
      <c r="D789" s="49"/>
      <c r="E789" s="49"/>
    </row>
    <row r="790" spans="1:5">
      <c r="A790" s="49"/>
      <c r="B790" s="49"/>
      <c r="C790" s="49"/>
      <c r="D790" s="49"/>
      <c r="E790" s="49"/>
    </row>
    <row r="791" spans="1:5">
      <c r="A791" s="49"/>
      <c r="B791" s="49"/>
      <c r="C791" s="49"/>
      <c r="D791" s="49"/>
      <c r="E791" s="49"/>
    </row>
    <row r="792" spans="1:5">
      <c r="A792" s="49"/>
      <c r="B792" s="49"/>
      <c r="C792" s="49"/>
      <c r="D792" s="49"/>
      <c r="E792" s="49"/>
    </row>
    <row r="793" spans="1:5">
      <c r="A793" s="49"/>
      <c r="B793" s="49"/>
      <c r="C793" s="49"/>
      <c r="D793" s="49"/>
      <c r="E793" s="49"/>
    </row>
    <row r="794" spans="1:5">
      <c r="A794" s="49"/>
      <c r="B794" s="49"/>
      <c r="C794" s="49"/>
      <c r="D794" s="49"/>
      <c r="E794" s="49"/>
    </row>
    <row r="795" spans="1:5">
      <c r="A795" s="49"/>
      <c r="B795" s="49"/>
      <c r="C795" s="49"/>
      <c r="D795" s="49"/>
      <c r="E795" s="49"/>
    </row>
    <row r="796" spans="1:5">
      <c r="A796" s="49"/>
      <c r="B796" s="49"/>
      <c r="C796" s="49"/>
      <c r="D796" s="49"/>
      <c r="E796" s="49"/>
    </row>
    <row r="797" spans="1:5">
      <c r="A797" s="49"/>
      <c r="B797" s="49"/>
      <c r="C797" s="49"/>
      <c r="D797" s="49"/>
      <c r="E797" s="49"/>
    </row>
    <row r="798" spans="1:5">
      <c r="A798" s="49"/>
      <c r="B798" s="49"/>
      <c r="C798" s="49"/>
      <c r="D798" s="49"/>
      <c r="E798" s="49"/>
    </row>
    <row r="799" spans="1:5">
      <c r="A799" s="49"/>
      <c r="B799" s="49"/>
      <c r="C799" s="49"/>
      <c r="D799" s="49"/>
      <c r="E799" s="49"/>
    </row>
    <row r="800" spans="1:5">
      <c r="A800" s="49"/>
      <c r="B800" s="49"/>
      <c r="C800" s="49"/>
      <c r="D800" s="49"/>
      <c r="E800" s="49"/>
    </row>
    <row r="801" spans="1:5">
      <c r="A801" s="49"/>
      <c r="B801" s="49"/>
      <c r="C801" s="49"/>
      <c r="D801" s="49"/>
      <c r="E801" s="49"/>
    </row>
    <row r="802" spans="1:5">
      <c r="A802" s="49"/>
      <c r="B802" s="49"/>
      <c r="C802" s="49"/>
      <c r="D802" s="49"/>
      <c r="E802" s="49"/>
    </row>
    <row r="803" spans="1:5">
      <c r="A803" s="49"/>
      <c r="B803" s="49"/>
      <c r="C803" s="49"/>
      <c r="D803" s="49"/>
      <c r="E803" s="49"/>
    </row>
    <row r="804" spans="1:5">
      <c r="A804" s="49"/>
      <c r="B804" s="49"/>
      <c r="C804" s="49"/>
      <c r="D804" s="49"/>
      <c r="E804" s="49"/>
    </row>
    <row r="805" spans="1:5">
      <c r="A805" s="49"/>
      <c r="B805" s="49"/>
      <c r="C805" s="49"/>
      <c r="D805" s="49"/>
      <c r="E805" s="49"/>
    </row>
    <row r="806" spans="1:5">
      <c r="A806" s="49"/>
      <c r="B806" s="49"/>
      <c r="C806" s="49"/>
      <c r="D806" s="49"/>
      <c r="E806" s="49"/>
    </row>
    <row r="807" spans="1:5">
      <c r="A807" s="49"/>
      <c r="B807" s="49"/>
      <c r="C807" s="49"/>
      <c r="D807" s="49"/>
      <c r="E807" s="49"/>
    </row>
    <row r="808" spans="1:5">
      <c r="A808" s="49"/>
      <c r="B808" s="49"/>
      <c r="C808" s="49"/>
      <c r="D808" s="49"/>
      <c r="E808" s="49"/>
    </row>
    <row r="809" spans="1:5">
      <c r="A809" s="49"/>
      <c r="B809" s="49"/>
      <c r="C809" s="49"/>
      <c r="D809" s="49"/>
      <c r="E809" s="49"/>
    </row>
    <row r="810" spans="1:5">
      <c r="A810" s="49"/>
      <c r="B810" s="49"/>
      <c r="C810" s="49"/>
      <c r="D810" s="49"/>
      <c r="E810" s="49"/>
    </row>
    <row r="811" spans="1:5">
      <c r="A811" s="49"/>
      <c r="B811" s="49"/>
      <c r="C811" s="49"/>
      <c r="D811" s="49"/>
      <c r="E811" s="49"/>
    </row>
    <row r="812" spans="1:5">
      <c r="A812" s="49"/>
      <c r="B812" s="49"/>
      <c r="C812" s="49"/>
      <c r="D812" s="49"/>
      <c r="E812" s="49"/>
    </row>
    <row r="813" spans="1:5">
      <c r="A813" s="49"/>
      <c r="B813" s="49"/>
      <c r="C813" s="49"/>
      <c r="D813" s="49"/>
      <c r="E813" s="49"/>
    </row>
    <row r="814" spans="1:5">
      <c r="A814" s="49"/>
      <c r="B814" s="49"/>
      <c r="C814" s="49"/>
      <c r="D814" s="49"/>
      <c r="E814" s="49"/>
    </row>
    <row r="815" spans="1:5">
      <c r="A815" s="49"/>
      <c r="B815" s="49"/>
      <c r="C815" s="49"/>
      <c r="D815" s="49"/>
      <c r="E815" s="49"/>
    </row>
    <row r="816" spans="1:5">
      <c r="A816" s="49"/>
      <c r="B816" s="49"/>
      <c r="C816" s="49"/>
      <c r="D816" s="49"/>
      <c r="E816" s="49"/>
    </row>
    <row r="817" spans="1:5">
      <c r="A817" s="49"/>
      <c r="B817" s="49"/>
      <c r="C817" s="49"/>
      <c r="D817" s="49"/>
      <c r="E817" s="49"/>
    </row>
    <row r="818" spans="1:5">
      <c r="A818" s="49"/>
      <c r="B818" s="49"/>
      <c r="C818" s="49"/>
      <c r="D818" s="49"/>
      <c r="E818" s="49"/>
    </row>
    <row r="819" spans="1:5">
      <c r="A819" s="49"/>
      <c r="B819" s="49"/>
      <c r="C819" s="49"/>
      <c r="D819" s="49"/>
      <c r="E819" s="49"/>
    </row>
    <row r="820" spans="1:5">
      <c r="A820" s="49"/>
      <c r="B820" s="49"/>
      <c r="C820" s="49"/>
      <c r="D820" s="49"/>
      <c r="E820" s="49"/>
    </row>
    <row r="821" spans="1:5">
      <c r="A821" s="49"/>
      <c r="B821" s="49"/>
      <c r="C821" s="49"/>
      <c r="D821" s="49"/>
      <c r="E821" s="49"/>
    </row>
    <row r="822" spans="1:5">
      <c r="A822" s="49"/>
      <c r="B822" s="49"/>
      <c r="C822" s="49"/>
      <c r="D822" s="49"/>
      <c r="E822" s="49"/>
    </row>
    <row r="823" spans="1:5">
      <c r="A823" s="49"/>
      <c r="B823" s="49"/>
      <c r="C823" s="49"/>
      <c r="D823" s="49"/>
      <c r="E823" s="49"/>
    </row>
    <row r="824" spans="1:5">
      <c r="A824" s="49"/>
      <c r="B824" s="49"/>
      <c r="C824" s="49"/>
      <c r="D824" s="49"/>
      <c r="E824" s="49"/>
    </row>
    <row r="825" spans="1:5">
      <c r="A825" s="49"/>
      <c r="B825" s="49"/>
      <c r="C825" s="49"/>
      <c r="D825" s="49"/>
      <c r="E825" s="49"/>
    </row>
    <row r="826" spans="1:5">
      <c r="A826" s="49"/>
      <c r="B826" s="49"/>
      <c r="C826" s="49"/>
      <c r="D826" s="49"/>
      <c r="E826" s="49"/>
    </row>
    <row r="827" spans="1:5">
      <c r="A827" s="49"/>
      <c r="B827" s="49"/>
      <c r="C827" s="49"/>
      <c r="D827" s="49"/>
      <c r="E827" s="49"/>
    </row>
    <row r="828" spans="1:5">
      <c r="A828" s="49"/>
      <c r="B828" s="49"/>
      <c r="C828" s="49"/>
      <c r="D828" s="49"/>
      <c r="E828" s="49"/>
    </row>
    <row r="829" spans="1:5">
      <c r="A829" s="49"/>
      <c r="B829" s="49"/>
      <c r="C829" s="49"/>
      <c r="D829" s="49"/>
      <c r="E829" s="49"/>
    </row>
    <row r="830" spans="1:5">
      <c r="A830" s="49"/>
      <c r="B830" s="49"/>
      <c r="C830" s="49"/>
      <c r="D830" s="49"/>
      <c r="E830" s="49"/>
    </row>
    <row r="831" spans="1:5">
      <c r="A831" s="49"/>
      <c r="B831" s="49"/>
      <c r="C831" s="49"/>
      <c r="D831" s="49"/>
      <c r="E831" s="49"/>
    </row>
    <row r="832" spans="1:5">
      <c r="A832" s="49"/>
      <c r="B832" s="49"/>
      <c r="C832" s="49"/>
      <c r="D832" s="49"/>
      <c r="E832" s="49"/>
    </row>
    <row r="833" spans="1:5">
      <c r="A833" s="49"/>
      <c r="B833" s="49"/>
      <c r="C833" s="49"/>
      <c r="D833" s="49"/>
      <c r="E833" s="49"/>
    </row>
    <row r="834" spans="1:5">
      <c r="A834" s="49"/>
      <c r="B834" s="49"/>
      <c r="C834" s="49"/>
      <c r="D834" s="49"/>
      <c r="E834" s="49"/>
    </row>
    <row r="835" spans="1:5">
      <c r="A835" s="49"/>
      <c r="B835" s="49"/>
      <c r="C835" s="49"/>
      <c r="D835" s="49"/>
      <c r="E835" s="49"/>
    </row>
    <row r="836" spans="1:5">
      <c r="A836" s="49"/>
      <c r="B836" s="49"/>
      <c r="C836" s="49"/>
      <c r="D836" s="49"/>
      <c r="E836" s="49"/>
    </row>
    <row r="837" spans="1:5">
      <c r="A837" s="49"/>
      <c r="B837" s="49"/>
      <c r="C837" s="49"/>
      <c r="D837" s="49"/>
      <c r="E837" s="49"/>
    </row>
    <row r="838" spans="1:5">
      <c r="A838" s="49"/>
      <c r="B838" s="49"/>
      <c r="C838" s="49"/>
      <c r="D838" s="49"/>
      <c r="E838" s="49"/>
    </row>
    <row r="839" spans="1:5">
      <c r="A839" s="49"/>
      <c r="B839" s="49"/>
      <c r="C839" s="49"/>
      <c r="D839" s="49"/>
      <c r="E839" s="49"/>
    </row>
    <row r="840" spans="1:5">
      <c r="A840" s="49"/>
      <c r="B840" s="49"/>
      <c r="C840" s="49"/>
      <c r="D840" s="49"/>
      <c r="E840" s="49"/>
    </row>
    <row r="841" spans="1:5">
      <c r="A841" s="49"/>
      <c r="B841" s="49"/>
      <c r="C841" s="49"/>
      <c r="D841" s="49"/>
      <c r="E841" s="49"/>
    </row>
    <row r="842" spans="1:5">
      <c r="A842" s="49"/>
      <c r="B842" s="49"/>
      <c r="C842" s="49"/>
      <c r="D842" s="49"/>
      <c r="E842" s="49"/>
    </row>
    <row r="843" spans="1:5">
      <c r="A843" s="49"/>
      <c r="B843" s="49"/>
      <c r="C843" s="49"/>
      <c r="D843" s="49"/>
      <c r="E843" s="49"/>
    </row>
    <row r="844" spans="1:5">
      <c r="A844" s="49"/>
      <c r="B844" s="49"/>
      <c r="C844" s="49"/>
      <c r="D844" s="49"/>
      <c r="E844" s="49"/>
    </row>
    <row r="845" spans="1:5">
      <c r="A845" s="49"/>
      <c r="B845" s="49"/>
      <c r="C845" s="49"/>
      <c r="D845" s="49"/>
      <c r="E845" s="49"/>
    </row>
    <row r="846" spans="1:5">
      <c r="A846" s="49"/>
      <c r="B846" s="49"/>
      <c r="C846" s="49"/>
      <c r="D846" s="49"/>
      <c r="E846" s="49"/>
    </row>
    <row r="847" spans="1:5">
      <c r="A847" s="49"/>
      <c r="B847" s="49"/>
      <c r="C847" s="49"/>
      <c r="D847" s="49"/>
      <c r="E847" s="49"/>
    </row>
    <row r="848" spans="1:5">
      <c r="A848" s="49"/>
      <c r="B848" s="49"/>
      <c r="C848" s="49"/>
      <c r="D848" s="49"/>
      <c r="E848" s="49"/>
    </row>
    <row r="849" spans="1:5">
      <c r="A849" s="49"/>
      <c r="B849" s="49"/>
      <c r="C849" s="49"/>
      <c r="D849" s="49"/>
      <c r="E849" s="49"/>
    </row>
    <row r="850" spans="1:5">
      <c r="A850" s="49"/>
      <c r="B850" s="49"/>
      <c r="C850" s="49"/>
      <c r="D850" s="49"/>
      <c r="E850" s="49"/>
    </row>
    <row r="851" spans="1:5">
      <c r="A851" s="49"/>
      <c r="B851" s="49"/>
      <c r="C851" s="49"/>
      <c r="D851" s="49"/>
      <c r="E851" s="49"/>
    </row>
    <row r="852" spans="1:5">
      <c r="A852" s="49"/>
      <c r="B852" s="49"/>
      <c r="C852" s="49"/>
      <c r="D852" s="49"/>
      <c r="E852" s="49"/>
    </row>
    <row r="853" spans="1:5">
      <c r="A853" s="49"/>
      <c r="B853" s="49"/>
      <c r="C853" s="49"/>
      <c r="D853" s="49"/>
      <c r="E853" s="49"/>
    </row>
    <row r="854" spans="1:5">
      <c r="A854" s="49"/>
      <c r="B854" s="49"/>
      <c r="C854" s="49"/>
      <c r="D854" s="49"/>
      <c r="E854" s="49"/>
    </row>
    <row r="855" spans="1:5">
      <c r="A855" s="49"/>
      <c r="B855" s="49"/>
      <c r="C855" s="49"/>
      <c r="D855" s="49"/>
      <c r="E855" s="49"/>
    </row>
    <row r="856" spans="1:5">
      <c r="A856" s="49"/>
      <c r="B856" s="49"/>
      <c r="C856" s="49"/>
      <c r="D856" s="49"/>
      <c r="E856" s="49"/>
    </row>
    <row r="857" spans="1:5">
      <c r="A857" s="49"/>
      <c r="B857" s="49"/>
      <c r="C857" s="49"/>
      <c r="D857" s="49"/>
      <c r="E857" s="49"/>
    </row>
    <row r="858" spans="1:5">
      <c r="A858" s="49"/>
      <c r="B858" s="49"/>
      <c r="C858" s="49"/>
      <c r="D858" s="49"/>
      <c r="E858" s="49"/>
    </row>
    <row r="859" spans="1:5">
      <c r="A859" s="49"/>
      <c r="B859" s="49"/>
      <c r="C859" s="49"/>
      <c r="D859" s="49"/>
      <c r="E859" s="49"/>
    </row>
    <row r="860" spans="1:5">
      <c r="A860" s="49"/>
      <c r="B860" s="49"/>
      <c r="C860" s="49"/>
      <c r="D860" s="49"/>
      <c r="E860" s="49"/>
    </row>
    <row r="861" spans="1:5">
      <c r="A861" s="49"/>
      <c r="B861" s="49"/>
      <c r="C861" s="49"/>
      <c r="D861" s="49"/>
      <c r="E861" s="49"/>
    </row>
    <row r="862" spans="1:5">
      <c r="A862" s="49"/>
      <c r="B862" s="49"/>
      <c r="C862" s="49"/>
      <c r="D862" s="49"/>
      <c r="E862" s="49"/>
    </row>
    <row r="863" spans="1:5">
      <c r="A863" s="49"/>
      <c r="B863" s="49"/>
      <c r="C863" s="49"/>
      <c r="D863" s="49"/>
      <c r="E863" s="49"/>
    </row>
    <row r="864" spans="1:5">
      <c r="A864" s="49"/>
      <c r="B864" s="49"/>
      <c r="C864" s="49"/>
      <c r="D864" s="49"/>
      <c r="E864" s="49"/>
    </row>
    <row r="865" spans="1:5">
      <c r="A865" s="49"/>
      <c r="B865" s="49"/>
      <c r="C865" s="49"/>
      <c r="D865" s="49"/>
      <c r="E865" s="49"/>
    </row>
    <row r="866" spans="1:5">
      <c r="A866" s="49"/>
      <c r="B866" s="49"/>
      <c r="C866" s="49"/>
      <c r="D866" s="49"/>
      <c r="E866" s="49"/>
    </row>
    <row r="867" spans="1:5">
      <c r="A867" s="49"/>
      <c r="B867" s="49"/>
      <c r="C867" s="49"/>
      <c r="D867" s="49"/>
      <c r="E867" s="49"/>
    </row>
    <row r="868" spans="1:5">
      <c r="A868" s="49"/>
      <c r="B868" s="49"/>
      <c r="C868" s="49"/>
      <c r="D868" s="49"/>
      <c r="E868" s="49"/>
    </row>
    <row r="869" spans="1:5">
      <c r="A869" s="49"/>
      <c r="B869" s="49"/>
      <c r="C869" s="49"/>
      <c r="D869" s="49"/>
      <c r="E869" s="49"/>
    </row>
    <row r="870" spans="1:5">
      <c r="A870" s="49"/>
      <c r="B870" s="49"/>
      <c r="C870" s="49"/>
      <c r="D870" s="49"/>
      <c r="E870" s="49"/>
    </row>
    <row r="871" spans="1:5">
      <c r="A871" s="49"/>
      <c r="B871" s="49"/>
      <c r="C871" s="49"/>
      <c r="D871" s="49"/>
      <c r="E871" s="49"/>
    </row>
    <row r="872" spans="1:5">
      <c r="A872" s="49"/>
      <c r="B872" s="49"/>
      <c r="C872" s="49"/>
      <c r="D872" s="49"/>
      <c r="E872" s="49"/>
    </row>
    <row r="873" spans="1:5">
      <c r="A873" s="49"/>
      <c r="B873" s="49"/>
      <c r="C873" s="49"/>
      <c r="D873" s="49"/>
      <c r="E873" s="49"/>
    </row>
    <row r="874" spans="1:5">
      <c r="A874" s="49"/>
      <c r="B874" s="49"/>
      <c r="C874" s="49"/>
      <c r="D874" s="49"/>
      <c r="E874" s="49"/>
    </row>
    <row r="875" spans="1:5">
      <c r="A875" s="49"/>
      <c r="B875" s="49"/>
      <c r="C875" s="49"/>
      <c r="D875" s="49"/>
      <c r="E875" s="49"/>
    </row>
    <row r="876" spans="1:5">
      <c r="A876" s="49"/>
      <c r="B876" s="49"/>
      <c r="C876" s="49"/>
      <c r="D876" s="49"/>
      <c r="E876" s="49"/>
    </row>
    <row r="877" spans="1:5">
      <c r="A877" s="49"/>
      <c r="B877" s="49"/>
      <c r="C877" s="49"/>
      <c r="D877" s="49"/>
      <c r="E877" s="49"/>
    </row>
    <row r="878" spans="1:5">
      <c r="A878" s="49"/>
      <c r="B878" s="49"/>
      <c r="C878" s="49"/>
      <c r="D878" s="49"/>
      <c r="E878" s="49"/>
    </row>
    <row r="879" spans="1:5">
      <c r="A879" s="49"/>
      <c r="B879" s="49"/>
      <c r="C879" s="49"/>
      <c r="D879" s="49"/>
      <c r="E879" s="49"/>
    </row>
    <row r="880" spans="1:5">
      <c r="A880" s="49"/>
      <c r="B880" s="49"/>
      <c r="C880" s="49"/>
      <c r="D880" s="49"/>
      <c r="E880" s="49"/>
    </row>
    <row r="881" spans="1:5">
      <c r="A881" s="49"/>
      <c r="B881" s="49"/>
      <c r="C881" s="49"/>
      <c r="D881" s="49"/>
      <c r="E881" s="49"/>
    </row>
    <row r="882" spans="1:5">
      <c r="A882" s="49"/>
      <c r="B882" s="49"/>
      <c r="C882" s="49"/>
      <c r="D882" s="49"/>
      <c r="E882" s="49"/>
    </row>
    <row r="883" spans="1:5">
      <c r="A883" s="49"/>
      <c r="B883" s="49"/>
      <c r="C883" s="49"/>
      <c r="D883" s="49"/>
      <c r="E883" s="49"/>
    </row>
    <row r="884" spans="1:5">
      <c r="A884" s="49"/>
      <c r="B884" s="49"/>
      <c r="C884" s="49"/>
      <c r="D884" s="49"/>
      <c r="E884" s="49"/>
    </row>
    <row r="885" spans="1:5">
      <c r="A885" s="49"/>
      <c r="B885" s="49"/>
      <c r="C885" s="49"/>
      <c r="D885" s="49"/>
      <c r="E885" s="49"/>
    </row>
    <row r="886" spans="1:5">
      <c r="A886" s="49"/>
      <c r="B886" s="49"/>
      <c r="C886" s="49"/>
      <c r="D886" s="49"/>
      <c r="E886" s="49"/>
    </row>
    <row r="887" spans="1:5">
      <c r="A887" s="49"/>
      <c r="B887" s="49"/>
      <c r="C887" s="49"/>
      <c r="D887" s="49"/>
      <c r="E887" s="49"/>
    </row>
    <row r="888" spans="1:5">
      <c r="A888" s="49"/>
      <c r="B888" s="49"/>
      <c r="C888" s="49"/>
      <c r="D888" s="49"/>
      <c r="E888" s="49"/>
    </row>
    <row r="889" spans="1:5">
      <c r="A889" s="49"/>
      <c r="B889" s="49"/>
      <c r="C889" s="49"/>
      <c r="D889" s="49"/>
      <c r="E889" s="49"/>
    </row>
    <row r="890" spans="1:5">
      <c r="A890" s="49"/>
      <c r="B890" s="49"/>
      <c r="C890" s="49"/>
      <c r="D890" s="49"/>
      <c r="E890" s="49"/>
    </row>
    <row r="891" spans="1:5">
      <c r="A891" s="49"/>
      <c r="B891" s="49"/>
      <c r="C891" s="49"/>
      <c r="D891" s="49"/>
      <c r="E891" s="49"/>
    </row>
    <row r="892" spans="1:5">
      <c r="A892" s="49"/>
      <c r="B892" s="49"/>
      <c r="C892" s="49"/>
      <c r="D892" s="49"/>
      <c r="E892" s="49"/>
    </row>
    <row r="893" spans="1:5">
      <c r="A893" s="49"/>
      <c r="B893" s="49"/>
      <c r="C893" s="49"/>
      <c r="D893" s="49"/>
      <c r="E893" s="49"/>
    </row>
    <row r="894" spans="1:5">
      <c r="A894" s="49"/>
      <c r="B894" s="49"/>
      <c r="C894" s="49"/>
      <c r="D894" s="49"/>
      <c r="E894" s="49"/>
    </row>
    <row r="895" spans="1:5">
      <c r="A895" s="49"/>
      <c r="B895" s="49"/>
      <c r="C895" s="49"/>
      <c r="D895" s="49"/>
      <c r="E895" s="49"/>
    </row>
    <row r="896" spans="1:5">
      <c r="A896" s="49"/>
      <c r="B896" s="49"/>
      <c r="C896" s="49"/>
      <c r="D896" s="49"/>
      <c r="E896" s="49"/>
    </row>
    <row r="897" spans="1:5">
      <c r="A897" s="49"/>
      <c r="B897" s="49"/>
      <c r="C897" s="49"/>
      <c r="D897" s="49"/>
      <c r="E897" s="49"/>
    </row>
    <row r="898" spans="1:5">
      <c r="A898" s="49"/>
      <c r="B898" s="49"/>
      <c r="C898" s="49"/>
      <c r="D898" s="49"/>
      <c r="E898" s="49"/>
    </row>
    <row r="899" spans="1:5">
      <c r="A899" s="49"/>
      <c r="B899" s="49"/>
      <c r="C899" s="49"/>
      <c r="D899" s="49"/>
      <c r="E899" s="49"/>
    </row>
    <row r="900" spans="1:5">
      <c r="A900" s="49"/>
      <c r="B900" s="49"/>
      <c r="C900" s="49"/>
      <c r="D900" s="49"/>
      <c r="E900" s="49"/>
    </row>
    <row r="901" spans="1:5">
      <c r="A901" s="49"/>
      <c r="B901" s="49"/>
      <c r="C901" s="49"/>
      <c r="D901" s="49"/>
      <c r="E901" s="49"/>
    </row>
    <row r="902" spans="1:5">
      <c r="A902" s="49"/>
      <c r="B902" s="49"/>
      <c r="C902" s="49"/>
      <c r="D902" s="49"/>
      <c r="E902" s="49"/>
    </row>
    <row r="903" spans="1:5">
      <c r="A903" s="49"/>
      <c r="B903" s="49"/>
      <c r="C903" s="49"/>
      <c r="D903" s="49"/>
      <c r="E903" s="49"/>
    </row>
    <row r="904" spans="1:5">
      <c r="A904" s="49"/>
      <c r="B904" s="49"/>
      <c r="C904" s="49"/>
      <c r="D904" s="49"/>
      <c r="E904" s="49"/>
    </row>
    <row r="905" spans="1:5">
      <c r="A905" s="49"/>
      <c r="B905" s="49"/>
      <c r="C905" s="49"/>
      <c r="D905" s="49"/>
      <c r="E905" s="49"/>
    </row>
    <row r="906" spans="1:5">
      <c r="A906" s="49"/>
      <c r="B906" s="49"/>
      <c r="C906" s="49"/>
      <c r="D906" s="49"/>
      <c r="E906" s="49"/>
    </row>
    <row r="907" spans="1:5">
      <c r="A907" s="49"/>
      <c r="B907" s="49"/>
      <c r="C907" s="49"/>
      <c r="D907" s="49"/>
      <c r="E907" s="49"/>
    </row>
    <row r="908" spans="1:5">
      <c r="A908" s="49"/>
      <c r="B908" s="49"/>
      <c r="C908" s="49"/>
      <c r="D908" s="49"/>
      <c r="E908" s="49"/>
    </row>
    <row r="909" spans="1:5">
      <c r="A909" s="49"/>
      <c r="B909" s="49"/>
      <c r="C909" s="49"/>
      <c r="D909" s="49"/>
      <c r="E909" s="49"/>
    </row>
    <row r="910" spans="1:5">
      <c r="A910" s="49"/>
      <c r="B910" s="49"/>
      <c r="C910" s="49"/>
      <c r="D910" s="49"/>
      <c r="E910" s="49"/>
    </row>
    <row r="911" spans="1:5">
      <c r="A911" s="49"/>
      <c r="B911" s="49"/>
      <c r="C911" s="49"/>
      <c r="D911" s="49"/>
      <c r="E911" s="49"/>
    </row>
    <row r="912" spans="1:5">
      <c r="A912" s="49"/>
      <c r="B912" s="49"/>
      <c r="C912" s="49"/>
      <c r="D912" s="49"/>
      <c r="E912" s="49"/>
    </row>
    <row r="913" spans="1:5">
      <c r="A913" s="49"/>
      <c r="B913" s="49"/>
      <c r="C913" s="49"/>
      <c r="D913" s="49"/>
      <c r="E913" s="49"/>
    </row>
    <row r="914" spans="1:5">
      <c r="A914" s="49"/>
      <c r="B914" s="49"/>
      <c r="C914" s="49"/>
      <c r="D914" s="49"/>
      <c r="E914" s="49"/>
    </row>
    <row r="915" spans="1:5">
      <c r="A915" s="49"/>
      <c r="B915" s="49"/>
      <c r="C915" s="49"/>
      <c r="D915" s="49"/>
      <c r="E915" s="49"/>
    </row>
    <row r="916" spans="1:5">
      <c r="A916" s="49"/>
      <c r="B916" s="49"/>
      <c r="C916" s="49"/>
      <c r="D916" s="49"/>
      <c r="E916" s="49"/>
    </row>
    <row r="917" spans="1:5">
      <c r="A917" s="49"/>
      <c r="B917" s="49"/>
      <c r="C917" s="49"/>
      <c r="D917" s="49"/>
      <c r="E917" s="49"/>
    </row>
    <row r="918" spans="1:5">
      <c r="A918" s="49"/>
      <c r="B918" s="49"/>
      <c r="C918" s="49"/>
      <c r="D918" s="49"/>
      <c r="E918" s="49"/>
    </row>
    <row r="919" spans="1:5">
      <c r="A919" s="49"/>
      <c r="B919" s="49"/>
      <c r="C919" s="49"/>
      <c r="D919" s="49"/>
      <c r="E919" s="49"/>
    </row>
    <row r="920" spans="1:5">
      <c r="A920" s="49"/>
      <c r="B920" s="49"/>
      <c r="C920" s="49"/>
      <c r="D920" s="49"/>
      <c r="E920" s="49"/>
    </row>
    <row r="921" spans="1:5">
      <c r="A921" s="49"/>
      <c r="B921" s="49"/>
      <c r="C921" s="49"/>
      <c r="D921" s="49"/>
      <c r="E921" s="49"/>
    </row>
    <row r="922" spans="1:5">
      <c r="A922" s="49"/>
      <c r="B922" s="49"/>
      <c r="C922" s="49"/>
      <c r="D922" s="49"/>
      <c r="E922" s="49"/>
    </row>
    <row r="923" spans="1:5">
      <c r="A923" s="49"/>
      <c r="B923" s="49"/>
      <c r="C923" s="49"/>
      <c r="D923" s="49"/>
      <c r="E923" s="49"/>
    </row>
    <row r="924" spans="1:5">
      <c r="A924" s="49"/>
      <c r="B924" s="49"/>
      <c r="C924" s="49"/>
      <c r="D924" s="49"/>
      <c r="E924" s="49"/>
    </row>
    <row r="925" spans="1:5">
      <c r="A925" s="49"/>
      <c r="B925" s="49"/>
      <c r="C925" s="49"/>
      <c r="D925" s="49"/>
      <c r="E925" s="49"/>
    </row>
    <row r="926" spans="1:5">
      <c r="A926" s="49"/>
      <c r="B926" s="49"/>
      <c r="C926" s="49"/>
      <c r="D926" s="49"/>
      <c r="E926" s="49"/>
    </row>
    <row r="927" spans="1:5">
      <c r="A927" s="49"/>
      <c r="B927" s="49"/>
      <c r="C927" s="49"/>
      <c r="D927" s="49"/>
      <c r="E927" s="49"/>
    </row>
    <row r="928" spans="1:5">
      <c r="A928" s="49"/>
      <c r="B928" s="49"/>
      <c r="C928" s="49"/>
      <c r="D928" s="49"/>
      <c r="E928" s="49"/>
    </row>
    <row r="929" spans="1:5">
      <c r="A929" s="49"/>
      <c r="B929" s="49"/>
      <c r="C929" s="49"/>
      <c r="D929" s="49"/>
      <c r="E929" s="49"/>
    </row>
    <row r="930" spans="1:5">
      <c r="A930" s="49"/>
      <c r="B930" s="49"/>
      <c r="C930" s="49"/>
      <c r="D930" s="49"/>
      <c r="E930" s="49"/>
    </row>
    <row r="931" spans="1:5">
      <c r="A931" s="49"/>
      <c r="B931" s="49"/>
      <c r="C931" s="49"/>
      <c r="D931" s="49"/>
      <c r="E931" s="49"/>
    </row>
    <row r="932" spans="1:5">
      <c r="A932" s="49"/>
      <c r="B932" s="49"/>
      <c r="C932" s="49"/>
      <c r="D932" s="49"/>
      <c r="E932" s="49"/>
    </row>
    <row r="933" spans="1:5">
      <c r="A933" s="49"/>
      <c r="B933" s="49"/>
      <c r="C933" s="49"/>
      <c r="D933" s="49"/>
      <c r="E933" s="49"/>
    </row>
    <row r="934" spans="1:5">
      <c r="A934" s="49"/>
      <c r="B934" s="49"/>
      <c r="C934" s="49"/>
      <c r="D934" s="49"/>
      <c r="E934" s="49"/>
    </row>
    <row r="935" spans="1:5">
      <c r="A935" s="49"/>
      <c r="B935" s="49"/>
      <c r="C935" s="49"/>
      <c r="D935" s="49"/>
      <c r="E935" s="49"/>
    </row>
    <row r="936" spans="1:5">
      <c r="A936" s="49"/>
      <c r="B936" s="49"/>
      <c r="C936" s="49"/>
      <c r="D936" s="49"/>
      <c r="E936" s="49"/>
    </row>
    <row r="937" spans="1:5">
      <c r="A937" s="49"/>
      <c r="B937" s="49"/>
      <c r="C937" s="49"/>
      <c r="D937" s="49"/>
      <c r="E937" s="49"/>
    </row>
    <row r="938" spans="1:5">
      <c r="A938" s="49"/>
      <c r="B938" s="49"/>
      <c r="C938" s="49"/>
      <c r="D938" s="49"/>
      <c r="E938" s="49"/>
    </row>
    <row r="939" spans="1:5">
      <c r="A939" s="49"/>
      <c r="B939" s="49"/>
      <c r="C939" s="49"/>
      <c r="D939" s="49"/>
      <c r="E939" s="49"/>
    </row>
    <row r="940" spans="1:5">
      <c r="A940" s="49"/>
      <c r="B940" s="49"/>
      <c r="C940" s="49"/>
      <c r="D940" s="49"/>
      <c r="E940" s="49"/>
    </row>
    <row r="941" spans="1:5">
      <c r="A941" s="49"/>
      <c r="B941" s="49"/>
      <c r="C941" s="49"/>
      <c r="D941" s="49"/>
      <c r="E941" s="49"/>
    </row>
    <row r="942" spans="1:5">
      <c r="A942" s="49"/>
      <c r="B942" s="49"/>
      <c r="C942" s="49"/>
      <c r="D942" s="49"/>
      <c r="E942" s="49"/>
    </row>
    <row r="943" spans="1:5">
      <c r="A943" s="49"/>
      <c r="B943" s="49"/>
      <c r="C943" s="49"/>
      <c r="D943" s="49"/>
      <c r="E943" s="49"/>
    </row>
    <row r="944" spans="1:5">
      <c r="A944" s="49"/>
      <c r="B944" s="49"/>
      <c r="C944" s="49"/>
      <c r="D944" s="49"/>
      <c r="E944" s="49"/>
    </row>
    <row r="945" spans="1:5">
      <c r="A945" s="49"/>
      <c r="B945" s="49"/>
      <c r="C945" s="49"/>
      <c r="D945" s="49"/>
      <c r="E945" s="49"/>
    </row>
    <row r="946" spans="1:5">
      <c r="A946" s="49"/>
      <c r="B946" s="49"/>
      <c r="C946" s="49"/>
      <c r="D946" s="49"/>
      <c r="E946" s="49"/>
    </row>
    <row r="947" spans="1:5">
      <c r="A947" s="49"/>
      <c r="B947" s="49"/>
      <c r="C947" s="49"/>
      <c r="D947" s="49"/>
      <c r="E947" s="49"/>
    </row>
    <row r="948" spans="1:5">
      <c r="A948" s="49"/>
      <c r="B948" s="49"/>
      <c r="C948" s="49"/>
      <c r="D948" s="49"/>
      <c r="E948" s="49"/>
    </row>
    <row r="949" spans="1:5">
      <c r="A949" s="49"/>
      <c r="B949" s="49"/>
      <c r="C949" s="49"/>
      <c r="D949" s="49"/>
      <c r="E949" s="49"/>
    </row>
    <row r="950" spans="1:5">
      <c r="A950" s="49"/>
      <c r="B950" s="49"/>
      <c r="C950" s="49"/>
      <c r="D950" s="49"/>
      <c r="E950" s="49"/>
    </row>
    <row r="951" spans="1:5">
      <c r="A951" s="49"/>
      <c r="B951" s="49"/>
      <c r="C951" s="49"/>
      <c r="D951" s="49"/>
      <c r="E951" s="49"/>
    </row>
    <row r="952" spans="1:5">
      <c r="A952" s="49"/>
      <c r="B952" s="49"/>
      <c r="C952" s="49"/>
      <c r="D952" s="49"/>
      <c r="E952" s="49"/>
    </row>
    <row r="953" spans="1:5">
      <c r="A953" s="49"/>
      <c r="B953" s="49"/>
      <c r="C953" s="49"/>
      <c r="D953" s="49"/>
      <c r="E953" s="49"/>
    </row>
    <row r="954" spans="1:5">
      <c r="A954" s="49"/>
      <c r="B954" s="49"/>
      <c r="C954" s="49"/>
      <c r="D954" s="49"/>
      <c r="E954" s="49"/>
    </row>
    <row r="955" spans="1:5">
      <c r="A955" s="49"/>
      <c r="B955" s="49"/>
      <c r="C955" s="49"/>
      <c r="D955" s="49"/>
      <c r="E955" s="49"/>
    </row>
    <row r="956" spans="1:5">
      <c r="A956" s="49"/>
      <c r="B956" s="49"/>
      <c r="C956" s="49"/>
      <c r="D956" s="49"/>
      <c r="E956" s="49"/>
    </row>
    <row r="957" spans="1:5">
      <c r="A957" s="49"/>
      <c r="B957" s="49"/>
      <c r="C957" s="49"/>
      <c r="D957" s="49"/>
      <c r="E957" s="49"/>
    </row>
    <row r="958" spans="1:5">
      <c r="A958" s="49"/>
      <c r="B958" s="49"/>
      <c r="C958" s="49"/>
      <c r="D958" s="49"/>
      <c r="E958" s="49"/>
    </row>
    <row r="959" spans="1:5">
      <c r="A959" s="49"/>
      <c r="B959" s="49"/>
      <c r="C959" s="49"/>
      <c r="D959" s="49"/>
      <c r="E959" s="49"/>
    </row>
    <row r="960" spans="1:5">
      <c r="A960" s="49"/>
      <c r="B960" s="49"/>
      <c r="C960" s="49"/>
      <c r="D960" s="49"/>
      <c r="E960" s="49"/>
    </row>
    <row r="961" spans="1:5">
      <c r="A961" s="49"/>
      <c r="B961" s="49"/>
      <c r="C961" s="49"/>
      <c r="D961" s="49"/>
      <c r="E961" s="49"/>
    </row>
    <row r="962" spans="1:5">
      <c r="A962" s="49"/>
      <c r="B962" s="49"/>
      <c r="C962" s="49"/>
      <c r="D962" s="49"/>
      <c r="E962" s="49"/>
    </row>
    <row r="963" spans="1:5">
      <c r="A963" s="49"/>
      <c r="B963" s="49"/>
      <c r="C963" s="49"/>
      <c r="D963" s="49"/>
      <c r="E963" s="49"/>
    </row>
    <row r="964" spans="1:5">
      <c r="A964" s="49"/>
      <c r="B964" s="49"/>
      <c r="C964" s="49"/>
      <c r="D964" s="49"/>
      <c r="E964" s="49"/>
    </row>
    <row r="965" spans="1:5">
      <c r="A965" s="49"/>
      <c r="B965" s="49"/>
      <c r="C965" s="49"/>
      <c r="D965" s="49"/>
      <c r="E965" s="49"/>
    </row>
    <row r="966" spans="1:5">
      <c r="A966" s="49"/>
      <c r="B966" s="49"/>
      <c r="C966" s="49"/>
      <c r="D966" s="49"/>
      <c r="E966" s="49"/>
    </row>
    <row r="967" spans="1:5">
      <c r="A967" s="49"/>
      <c r="B967" s="49"/>
      <c r="C967" s="49"/>
      <c r="D967" s="49"/>
      <c r="E967" s="49"/>
    </row>
    <row r="968" spans="1:5">
      <c r="A968" s="49"/>
      <c r="B968" s="49"/>
      <c r="C968" s="49"/>
      <c r="D968" s="49"/>
      <c r="E968" s="49"/>
    </row>
    <row r="969" spans="1:5">
      <c r="A969" s="49"/>
      <c r="B969" s="49"/>
      <c r="C969" s="49"/>
      <c r="D969" s="49"/>
      <c r="E969" s="49"/>
    </row>
    <row r="970" spans="1:5">
      <c r="A970" s="49"/>
      <c r="B970" s="49"/>
      <c r="C970" s="49"/>
      <c r="D970" s="49"/>
      <c r="E970" s="49"/>
    </row>
    <row r="971" spans="1:5">
      <c r="A971" s="49"/>
      <c r="B971" s="49"/>
      <c r="C971" s="49"/>
      <c r="D971" s="49"/>
      <c r="E971" s="49"/>
    </row>
    <row r="972" spans="1:5">
      <c r="A972" s="49"/>
      <c r="B972" s="49"/>
      <c r="C972" s="49"/>
      <c r="D972" s="49"/>
      <c r="E972" s="49"/>
    </row>
    <row r="973" spans="1:5">
      <c r="A973" s="49"/>
      <c r="B973" s="49"/>
      <c r="C973" s="49"/>
      <c r="D973" s="49"/>
      <c r="E973" s="49"/>
    </row>
    <row r="974" spans="1:5">
      <c r="A974" s="49"/>
      <c r="B974" s="49"/>
      <c r="C974" s="49"/>
      <c r="D974" s="49"/>
      <c r="E974" s="49"/>
    </row>
    <row r="975" spans="1:5">
      <c r="A975" s="49"/>
      <c r="B975" s="49"/>
      <c r="C975" s="49"/>
      <c r="D975" s="49"/>
      <c r="E975" s="49"/>
    </row>
    <row r="976" spans="1:5">
      <c r="A976" s="49"/>
      <c r="B976" s="49"/>
      <c r="C976" s="49"/>
      <c r="D976" s="49"/>
      <c r="E976" s="49"/>
    </row>
    <row r="977" spans="1:5">
      <c r="A977" s="49"/>
      <c r="B977" s="49"/>
      <c r="C977" s="49"/>
      <c r="D977" s="49"/>
      <c r="E977" s="49"/>
    </row>
    <row r="978" spans="1:5">
      <c r="A978" s="49"/>
      <c r="B978" s="49"/>
      <c r="C978" s="49"/>
      <c r="D978" s="49"/>
      <c r="E978" s="49"/>
    </row>
    <row r="979" spans="1:5">
      <c r="A979" s="49"/>
      <c r="B979" s="49"/>
      <c r="C979" s="49"/>
      <c r="D979" s="49"/>
      <c r="E979" s="49"/>
    </row>
    <row r="980" spans="1:5">
      <c r="A980" s="49"/>
      <c r="B980" s="49"/>
      <c r="C980" s="49"/>
      <c r="D980" s="49"/>
      <c r="E980" s="49"/>
    </row>
    <row r="981" spans="1:5">
      <c r="A981" s="49"/>
      <c r="B981" s="49"/>
      <c r="C981" s="49"/>
      <c r="D981" s="49"/>
      <c r="E981" s="49"/>
    </row>
    <row r="982" spans="1:5">
      <c r="A982" s="49"/>
      <c r="B982" s="49"/>
      <c r="C982" s="49"/>
      <c r="D982" s="49"/>
      <c r="E982" s="49"/>
    </row>
    <row r="983" spans="1:5">
      <c r="A983" s="49"/>
      <c r="B983" s="49"/>
      <c r="C983" s="49"/>
      <c r="D983" s="49"/>
      <c r="E983" s="49"/>
    </row>
    <row r="984" spans="1:5">
      <c r="A984" s="49"/>
      <c r="B984" s="49"/>
      <c r="C984" s="49"/>
      <c r="D984" s="49"/>
      <c r="E984" s="49"/>
    </row>
    <row r="985" spans="1:5">
      <c r="A985" s="49"/>
      <c r="B985" s="49"/>
      <c r="C985" s="49"/>
      <c r="D985" s="49"/>
      <c r="E985" s="49"/>
    </row>
    <row r="986" spans="1:5">
      <c r="A986" s="49"/>
      <c r="B986" s="49"/>
      <c r="C986" s="49"/>
      <c r="D986" s="49"/>
      <c r="E986" s="49"/>
    </row>
    <row r="987" spans="1:5">
      <c r="A987" s="49"/>
      <c r="B987" s="49"/>
      <c r="C987" s="49"/>
      <c r="D987" s="49"/>
      <c r="E987" s="49"/>
    </row>
    <row r="988" spans="1:5">
      <c r="A988" s="49"/>
      <c r="B988" s="49"/>
      <c r="C988" s="49"/>
      <c r="D988" s="49"/>
      <c r="E988" s="49"/>
    </row>
    <row r="989" spans="1:5">
      <c r="A989" s="49"/>
      <c r="B989" s="49"/>
      <c r="C989" s="49"/>
      <c r="D989" s="49"/>
      <c r="E989" s="49"/>
    </row>
    <row r="990" spans="1:5">
      <c r="A990" s="49"/>
      <c r="B990" s="49"/>
      <c r="C990" s="49"/>
      <c r="D990" s="49"/>
      <c r="E990" s="49"/>
    </row>
    <row r="991" spans="1:5">
      <c r="A991" s="49"/>
      <c r="B991" s="49"/>
      <c r="C991" s="49"/>
      <c r="D991" s="49"/>
      <c r="E991" s="49"/>
    </row>
    <row r="992" spans="1:5">
      <c r="A992" s="49"/>
      <c r="B992" s="49"/>
      <c r="C992" s="49"/>
      <c r="D992" s="49"/>
      <c r="E992" s="49"/>
    </row>
    <row r="993" spans="1:5">
      <c r="A993" s="49"/>
      <c r="B993" s="49"/>
      <c r="C993" s="49"/>
      <c r="D993" s="49"/>
      <c r="E993" s="49"/>
    </row>
    <row r="994" spans="1:5">
      <c r="A994" s="49"/>
      <c r="B994" s="49"/>
      <c r="C994" s="49"/>
      <c r="D994" s="49"/>
      <c r="E994" s="49"/>
    </row>
    <row r="995" spans="1:5">
      <c r="A995" s="49"/>
      <c r="B995" s="49"/>
      <c r="C995" s="49"/>
      <c r="D995" s="49"/>
      <c r="E995" s="49"/>
    </row>
    <row r="996" spans="1:5">
      <c r="A996" s="49"/>
      <c r="B996" s="49"/>
      <c r="C996" s="49"/>
      <c r="D996" s="49"/>
      <c r="E996" s="49"/>
    </row>
    <row r="997" spans="1:5">
      <c r="A997" s="49"/>
      <c r="B997" s="49"/>
      <c r="C997" s="49"/>
      <c r="D997" s="49"/>
      <c r="E997" s="49"/>
    </row>
    <row r="998" spans="1:5">
      <c r="A998" s="49"/>
      <c r="B998" s="49"/>
      <c r="C998" s="49"/>
      <c r="D998" s="49"/>
      <c r="E998" s="49"/>
    </row>
    <row r="999" spans="1:5">
      <c r="A999" s="49"/>
      <c r="B999" s="49"/>
      <c r="C999" s="49"/>
      <c r="D999" s="49"/>
      <c r="E999" s="49"/>
    </row>
    <row r="1000" spans="1:5">
      <c r="A1000" s="49"/>
      <c r="B1000" s="49"/>
      <c r="C1000" s="49"/>
      <c r="D1000" s="49"/>
      <c r="E1000" s="49"/>
    </row>
    <row r="1001" spans="1:5">
      <c r="A1001" s="49"/>
      <c r="B1001" s="49"/>
      <c r="C1001" s="49"/>
      <c r="D1001" s="49"/>
      <c r="E1001" s="49"/>
    </row>
    <row r="1002" spans="1:5">
      <c r="A1002" s="49"/>
      <c r="B1002" s="49"/>
      <c r="C1002" s="49"/>
      <c r="D1002" s="49"/>
      <c r="E1002" s="49"/>
    </row>
    <row r="1003" spans="1:5">
      <c r="A1003" s="49"/>
      <c r="B1003" s="49"/>
      <c r="C1003" s="49"/>
      <c r="D1003" s="49"/>
      <c r="E1003" s="49"/>
    </row>
    <row r="1004" spans="1:5">
      <c r="A1004" s="49"/>
      <c r="B1004" s="49"/>
      <c r="C1004" s="49"/>
      <c r="D1004" s="49"/>
      <c r="E1004" s="49"/>
    </row>
    <row r="1005" spans="1:5">
      <c r="A1005" s="49"/>
      <c r="B1005" s="49"/>
      <c r="C1005" s="49"/>
      <c r="D1005" s="49"/>
      <c r="E1005" s="49"/>
    </row>
    <row r="1006" spans="1:5">
      <c r="A1006" s="49"/>
      <c r="B1006" s="49"/>
      <c r="C1006" s="49"/>
      <c r="D1006" s="49"/>
      <c r="E1006" s="49"/>
    </row>
    <row r="1007" spans="1:5">
      <c r="A1007" s="49"/>
      <c r="B1007" s="49"/>
      <c r="C1007" s="49"/>
      <c r="D1007" s="49"/>
      <c r="E1007" s="49"/>
    </row>
    <row r="1008" spans="1:5">
      <c r="A1008" s="49"/>
      <c r="B1008" s="49"/>
      <c r="C1008" s="49"/>
      <c r="D1008" s="49"/>
      <c r="E1008" s="49"/>
    </row>
    <row r="1009" spans="1:5">
      <c r="A1009" s="49"/>
      <c r="B1009" s="49"/>
      <c r="C1009" s="49"/>
      <c r="D1009" s="49"/>
      <c r="E1009" s="49"/>
    </row>
    <row r="1010" spans="1:5">
      <c r="A1010" s="49"/>
      <c r="B1010" s="49"/>
      <c r="C1010" s="49"/>
      <c r="D1010" s="49"/>
      <c r="E1010" s="49"/>
    </row>
    <row r="1011" spans="1:5">
      <c r="A1011" s="49"/>
      <c r="B1011" s="49"/>
      <c r="C1011" s="49"/>
      <c r="D1011" s="49"/>
      <c r="E1011" s="49"/>
    </row>
    <row r="1012" spans="1:5">
      <c r="A1012" s="49"/>
      <c r="B1012" s="49"/>
      <c r="C1012" s="49"/>
      <c r="D1012" s="49"/>
      <c r="E1012" s="49"/>
    </row>
    <row r="1013" spans="1:5">
      <c r="A1013" s="49"/>
      <c r="B1013" s="49"/>
      <c r="C1013" s="49"/>
      <c r="D1013" s="49"/>
      <c r="E1013" s="49"/>
    </row>
    <row r="1014" spans="1:5">
      <c r="A1014" s="49"/>
      <c r="B1014" s="49"/>
      <c r="C1014" s="49"/>
      <c r="D1014" s="49"/>
      <c r="E1014" s="49"/>
    </row>
    <row r="1015" spans="1:5">
      <c r="A1015" s="49"/>
      <c r="B1015" s="49"/>
      <c r="C1015" s="49"/>
      <c r="D1015" s="49"/>
      <c r="E1015" s="49"/>
    </row>
    <row r="1016" spans="1:5">
      <c r="A1016" s="49"/>
      <c r="B1016" s="49"/>
      <c r="C1016" s="49"/>
      <c r="D1016" s="49"/>
      <c r="E1016" s="49"/>
    </row>
    <row r="1017" spans="1:5">
      <c r="A1017" s="49"/>
      <c r="B1017" s="49"/>
      <c r="C1017" s="49"/>
      <c r="D1017" s="49"/>
      <c r="E1017" s="49"/>
    </row>
    <row r="1018" spans="1:5">
      <c r="A1018" s="49"/>
      <c r="B1018" s="49"/>
      <c r="C1018" s="49"/>
      <c r="D1018" s="49"/>
      <c r="E1018" s="49"/>
    </row>
    <row r="1019" spans="1:5">
      <c r="A1019" s="49"/>
      <c r="B1019" s="49"/>
      <c r="C1019" s="49"/>
      <c r="D1019" s="49"/>
      <c r="E1019" s="49"/>
    </row>
    <row r="1020" spans="1:5">
      <c r="A1020" s="49"/>
      <c r="B1020" s="49"/>
      <c r="C1020" s="49"/>
      <c r="D1020" s="49"/>
      <c r="E1020" s="49"/>
    </row>
    <row r="1021" spans="1:5">
      <c r="A1021" s="49"/>
      <c r="B1021" s="49"/>
      <c r="C1021" s="49"/>
      <c r="D1021" s="49"/>
      <c r="E1021" s="49"/>
    </row>
    <row r="1022" spans="1:5">
      <c r="A1022" s="49"/>
      <c r="B1022" s="49"/>
      <c r="C1022" s="49"/>
      <c r="D1022" s="49"/>
      <c r="E1022" s="49"/>
    </row>
    <row r="1023" spans="1:5">
      <c r="A1023" s="49"/>
      <c r="B1023" s="49"/>
      <c r="C1023" s="49"/>
      <c r="D1023" s="49"/>
      <c r="E1023" s="49"/>
    </row>
    <row r="1024" spans="1:5">
      <c r="A1024" s="49"/>
      <c r="B1024" s="49"/>
      <c r="C1024" s="49"/>
      <c r="D1024" s="49"/>
      <c r="E1024" s="49"/>
    </row>
    <row r="1025" spans="1:5">
      <c r="A1025" s="49"/>
      <c r="B1025" s="49"/>
      <c r="C1025" s="49"/>
      <c r="D1025" s="49"/>
      <c r="E1025" s="49"/>
    </row>
    <row r="1026" spans="1:5">
      <c r="A1026" s="49"/>
      <c r="B1026" s="49"/>
      <c r="C1026" s="49"/>
      <c r="D1026" s="49"/>
      <c r="E1026" s="49"/>
    </row>
    <row r="1027" spans="1:5">
      <c r="A1027" s="49"/>
      <c r="B1027" s="49"/>
      <c r="C1027" s="49"/>
      <c r="D1027" s="49"/>
      <c r="E1027" s="49"/>
    </row>
    <row r="1028" spans="1:5">
      <c r="A1028" s="49"/>
      <c r="B1028" s="49"/>
      <c r="C1028" s="49"/>
      <c r="D1028" s="49"/>
      <c r="E1028" s="49"/>
    </row>
    <row r="1029" spans="1:5">
      <c r="A1029" s="49"/>
      <c r="B1029" s="49"/>
      <c r="C1029" s="49"/>
      <c r="D1029" s="49"/>
      <c r="E1029" s="49"/>
    </row>
    <row r="1030" spans="1:5">
      <c r="A1030" s="49"/>
      <c r="B1030" s="49"/>
      <c r="C1030" s="49"/>
      <c r="D1030" s="49"/>
      <c r="E1030" s="49"/>
    </row>
    <row r="1031" spans="1:5">
      <c r="A1031" s="49"/>
      <c r="B1031" s="49"/>
      <c r="C1031" s="49"/>
      <c r="D1031" s="49"/>
      <c r="E1031" s="49"/>
    </row>
    <row r="1032" spans="1:5">
      <c r="A1032" s="49"/>
      <c r="B1032" s="49"/>
      <c r="C1032" s="49"/>
      <c r="D1032" s="49"/>
      <c r="E1032" s="49"/>
    </row>
    <row r="1033" spans="1:5">
      <c r="A1033" s="49"/>
      <c r="B1033" s="49"/>
      <c r="C1033" s="49"/>
      <c r="D1033" s="49"/>
      <c r="E1033" s="49"/>
    </row>
    <row r="1034" spans="1:5">
      <c r="A1034" s="49"/>
      <c r="B1034" s="49"/>
      <c r="C1034" s="49"/>
      <c r="D1034" s="49"/>
      <c r="E1034" s="49"/>
    </row>
    <row r="1035" spans="1:5">
      <c r="A1035" s="49"/>
      <c r="B1035" s="49"/>
      <c r="C1035" s="49"/>
      <c r="D1035" s="49"/>
      <c r="E1035" s="49"/>
    </row>
    <row r="1036" spans="1:5">
      <c r="A1036" s="49"/>
      <c r="B1036" s="49"/>
      <c r="C1036" s="49"/>
      <c r="D1036" s="49"/>
      <c r="E1036" s="49"/>
    </row>
    <row r="1037" spans="1:5">
      <c r="A1037" s="49"/>
      <c r="B1037" s="49"/>
      <c r="C1037" s="49"/>
      <c r="D1037" s="49"/>
      <c r="E1037" s="49"/>
    </row>
    <row r="1038" spans="1:5">
      <c r="A1038" s="49"/>
      <c r="B1038" s="49"/>
      <c r="C1038" s="49"/>
      <c r="D1038" s="49"/>
      <c r="E1038" s="49"/>
    </row>
    <row r="1039" spans="1:5">
      <c r="A1039" s="49"/>
      <c r="B1039" s="49"/>
      <c r="C1039" s="49"/>
      <c r="D1039" s="49"/>
      <c r="E1039" s="49"/>
    </row>
    <row r="1040" spans="1:5">
      <c r="A1040" s="49"/>
      <c r="B1040" s="49"/>
      <c r="C1040" s="49"/>
      <c r="D1040" s="49"/>
      <c r="E1040" s="49"/>
    </row>
    <row r="1041" spans="1:5">
      <c r="A1041" s="49"/>
      <c r="B1041" s="49"/>
      <c r="C1041" s="49"/>
      <c r="D1041" s="49"/>
      <c r="E1041" s="49"/>
    </row>
    <row r="1042" spans="1:5">
      <c r="A1042" s="49"/>
      <c r="B1042" s="49"/>
      <c r="C1042" s="49"/>
      <c r="D1042" s="49"/>
      <c r="E1042" s="49"/>
    </row>
    <row r="1043" spans="1:5">
      <c r="A1043" s="49"/>
      <c r="B1043" s="49"/>
      <c r="C1043" s="49"/>
      <c r="D1043" s="49"/>
      <c r="E1043" s="49"/>
    </row>
    <row r="1044" spans="1:5">
      <c r="A1044" s="49"/>
      <c r="B1044" s="49"/>
      <c r="C1044" s="49"/>
      <c r="D1044" s="49"/>
      <c r="E1044" s="49"/>
    </row>
    <row r="1045" spans="1:5">
      <c r="A1045" s="49"/>
      <c r="B1045" s="49"/>
      <c r="C1045" s="49"/>
      <c r="D1045" s="49"/>
      <c r="E1045" s="49"/>
    </row>
    <row r="1046" spans="1:5">
      <c r="A1046" s="49"/>
      <c r="B1046" s="49"/>
      <c r="C1046" s="49"/>
      <c r="D1046" s="49"/>
      <c r="E1046" s="49"/>
    </row>
    <row r="1047" spans="1:5">
      <c r="A1047" s="49"/>
      <c r="B1047" s="49"/>
      <c r="C1047" s="49"/>
      <c r="D1047" s="49"/>
      <c r="E1047" s="49"/>
    </row>
    <row r="1048" spans="1:5">
      <c r="A1048" s="49"/>
      <c r="B1048" s="49"/>
      <c r="C1048" s="49"/>
      <c r="D1048" s="49"/>
      <c r="E1048" s="49"/>
    </row>
    <row r="1049" spans="1:5">
      <c r="A1049" s="49"/>
      <c r="B1049" s="49"/>
      <c r="C1049" s="49"/>
      <c r="D1049" s="49"/>
      <c r="E1049" s="49"/>
    </row>
    <row r="1050" spans="1:5">
      <c r="A1050" s="49"/>
      <c r="B1050" s="49"/>
      <c r="C1050" s="49"/>
      <c r="D1050" s="49"/>
      <c r="E1050" s="49"/>
    </row>
    <row r="1051" spans="1:5">
      <c r="A1051" s="49"/>
      <c r="B1051" s="49"/>
      <c r="C1051" s="49"/>
      <c r="D1051" s="49"/>
      <c r="E1051" s="49"/>
    </row>
    <row r="1052" spans="1:5">
      <c r="A1052" s="49"/>
      <c r="B1052" s="49"/>
      <c r="C1052" s="49"/>
      <c r="D1052" s="49"/>
      <c r="E1052" s="49"/>
    </row>
    <row r="1053" spans="1:5">
      <c r="A1053" s="49"/>
      <c r="B1053" s="49"/>
      <c r="C1053" s="49"/>
      <c r="D1053" s="49"/>
      <c r="E1053" s="49"/>
    </row>
    <row r="1054" spans="1:5">
      <c r="A1054" s="49"/>
      <c r="B1054" s="49"/>
      <c r="C1054" s="49"/>
      <c r="D1054" s="49"/>
      <c r="E1054" s="49"/>
    </row>
    <row r="1055" spans="1:5">
      <c r="A1055" s="49"/>
      <c r="B1055" s="49"/>
      <c r="C1055" s="49"/>
      <c r="D1055" s="49"/>
      <c r="E1055" s="49"/>
    </row>
    <row r="1056" spans="1:5">
      <c r="A1056" s="49"/>
      <c r="B1056" s="49"/>
      <c r="C1056" s="49"/>
      <c r="D1056" s="49"/>
      <c r="E1056" s="49"/>
    </row>
    <row r="1057" spans="1:5">
      <c r="A1057" s="49"/>
      <c r="B1057" s="49"/>
      <c r="C1057" s="49"/>
      <c r="D1057" s="49"/>
      <c r="E1057" s="49"/>
    </row>
    <row r="1058" spans="1:5">
      <c r="A1058" s="49"/>
      <c r="B1058" s="49"/>
      <c r="C1058" s="49"/>
      <c r="D1058" s="49"/>
      <c r="E1058" s="49"/>
    </row>
    <row r="1059" spans="1:5">
      <c r="A1059" s="49"/>
      <c r="B1059" s="49"/>
      <c r="C1059" s="49"/>
      <c r="D1059" s="49"/>
      <c r="E1059" s="49"/>
    </row>
    <row r="1060" spans="1:5">
      <c r="A1060" s="49"/>
      <c r="B1060" s="49"/>
      <c r="C1060" s="49"/>
      <c r="D1060" s="49"/>
      <c r="E1060" s="49"/>
    </row>
    <row r="1061" spans="1:5">
      <c r="A1061" s="49"/>
      <c r="B1061" s="49"/>
      <c r="C1061" s="49"/>
      <c r="D1061" s="49"/>
      <c r="E1061" s="49"/>
    </row>
    <row r="1062" spans="1:5">
      <c r="A1062" s="49"/>
      <c r="B1062" s="49"/>
      <c r="C1062" s="49"/>
      <c r="D1062" s="49"/>
      <c r="E1062" s="49"/>
    </row>
    <row r="1063" spans="1:5">
      <c r="A1063" s="49"/>
      <c r="B1063" s="49"/>
      <c r="C1063" s="49"/>
      <c r="D1063" s="49"/>
      <c r="E1063" s="49"/>
    </row>
    <row r="1064" spans="1:5">
      <c r="A1064" s="49"/>
      <c r="B1064" s="49"/>
      <c r="C1064" s="49"/>
      <c r="D1064" s="49"/>
      <c r="E1064" s="49"/>
    </row>
    <row r="1065" spans="1:5">
      <c r="A1065" s="49"/>
      <c r="B1065" s="49"/>
      <c r="C1065" s="49"/>
      <c r="D1065" s="49"/>
      <c r="E1065" s="49"/>
    </row>
    <row r="1066" spans="1:5">
      <c r="A1066" s="49"/>
      <c r="B1066" s="49"/>
      <c r="C1066" s="49"/>
      <c r="D1066" s="49"/>
      <c r="E1066" s="49"/>
    </row>
    <row r="1067" spans="1:5">
      <c r="A1067" s="49"/>
      <c r="B1067" s="49"/>
      <c r="C1067" s="49"/>
      <c r="D1067" s="49"/>
      <c r="E1067" s="49"/>
    </row>
    <row r="1068" spans="1:5">
      <c r="A1068" s="49"/>
      <c r="B1068" s="49"/>
      <c r="C1068" s="49"/>
      <c r="D1068" s="49"/>
      <c r="E1068" s="49"/>
    </row>
    <row r="1069" spans="1:5">
      <c r="A1069" s="49"/>
      <c r="B1069" s="49"/>
      <c r="C1069" s="49"/>
      <c r="D1069" s="49"/>
      <c r="E1069" s="49"/>
    </row>
    <row r="1070" spans="1:5">
      <c r="A1070" s="49"/>
      <c r="B1070" s="49"/>
      <c r="C1070" s="49"/>
      <c r="D1070" s="49"/>
      <c r="E1070" s="49"/>
    </row>
    <row r="1071" spans="1:5">
      <c r="A1071" s="49"/>
      <c r="B1071" s="49"/>
      <c r="C1071" s="49"/>
      <c r="D1071" s="49"/>
      <c r="E1071" s="49"/>
    </row>
    <row r="1072" spans="1:5">
      <c r="A1072" s="49"/>
      <c r="B1072" s="49"/>
      <c r="C1072" s="49"/>
      <c r="D1072" s="49"/>
      <c r="E1072" s="49"/>
    </row>
    <row r="1073" spans="1:5">
      <c r="A1073" s="49"/>
      <c r="B1073" s="49"/>
      <c r="C1073" s="49"/>
      <c r="D1073" s="49"/>
      <c r="E1073" s="49"/>
    </row>
    <row r="1074" spans="1:5">
      <c r="A1074" s="49"/>
      <c r="B1074" s="49"/>
      <c r="C1074" s="49"/>
      <c r="D1074" s="49"/>
      <c r="E1074" s="49"/>
    </row>
    <row r="1075" spans="1:5">
      <c r="A1075" s="49"/>
      <c r="B1075" s="49"/>
      <c r="C1075" s="49"/>
      <c r="D1075" s="49"/>
      <c r="E1075" s="49"/>
    </row>
    <row r="1076" spans="1:5">
      <c r="A1076" s="49"/>
      <c r="B1076" s="49"/>
      <c r="C1076" s="49"/>
      <c r="D1076" s="49"/>
      <c r="E1076" s="49"/>
    </row>
    <row r="1077" spans="1:5">
      <c r="A1077" s="49"/>
      <c r="B1077" s="49"/>
      <c r="C1077" s="49"/>
      <c r="D1077" s="49"/>
      <c r="E1077" s="49"/>
    </row>
    <row r="1078" spans="1:5">
      <c r="A1078" s="49"/>
      <c r="B1078" s="49"/>
      <c r="C1078" s="49"/>
      <c r="D1078" s="49"/>
      <c r="E1078" s="49"/>
    </row>
    <row r="1079" spans="1:5">
      <c r="A1079" s="49"/>
      <c r="B1079" s="49"/>
      <c r="C1079" s="49"/>
      <c r="D1079" s="49"/>
      <c r="E1079" s="49"/>
    </row>
    <row r="1080" spans="1:5">
      <c r="A1080" s="49"/>
      <c r="B1080" s="49"/>
      <c r="C1080" s="49"/>
      <c r="D1080" s="49"/>
      <c r="E1080" s="49"/>
    </row>
    <row r="1081" spans="1:5">
      <c r="A1081" s="49"/>
      <c r="B1081" s="49"/>
      <c r="C1081" s="49"/>
      <c r="D1081" s="49"/>
      <c r="E1081" s="49"/>
    </row>
    <row r="1082" spans="1:5">
      <c r="A1082" s="49"/>
      <c r="B1082" s="49"/>
      <c r="C1082" s="49"/>
      <c r="D1082" s="49"/>
      <c r="E1082" s="49"/>
    </row>
    <row r="1083" spans="1:5">
      <c r="A1083" s="49"/>
      <c r="B1083" s="49"/>
      <c r="C1083" s="49"/>
      <c r="D1083" s="49"/>
      <c r="E1083" s="49"/>
    </row>
    <row r="1084" spans="1:5">
      <c r="A1084" s="49"/>
      <c r="B1084" s="49"/>
      <c r="C1084" s="49"/>
      <c r="D1084" s="49"/>
      <c r="E1084" s="49"/>
    </row>
    <row r="1085" spans="1:5">
      <c r="A1085" s="49"/>
      <c r="B1085" s="49"/>
      <c r="C1085" s="49"/>
      <c r="D1085" s="49"/>
      <c r="E1085" s="49"/>
    </row>
    <row r="1086" spans="1:5">
      <c r="A1086" s="49"/>
      <c r="B1086" s="49"/>
      <c r="C1086" s="49"/>
      <c r="D1086" s="49"/>
      <c r="E1086" s="49"/>
    </row>
    <row r="1087" spans="1:5">
      <c r="A1087" s="49"/>
      <c r="B1087" s="49"/>
      <c r="C1087" s="49"/>
      <c r="D1087" s="49"/>
      <c r="E1087" s="49"/>
    </row>
    <row r="1088" spans="1:5">
      <c r="A1088" s="49"/>
      <c r="B1088" s="49"/>
      <c r="C1088" s="49"/>
      <c r="D1088" s="49"/>
      <c r="E1088" s="49"/>
    </row>
    <row r="1089" spans="1:5">
      <c r="A1089" s="49"/>
      <c r="B1089" s="49"/>
      <c r="C1089" s="49"/>
      <c r="D1089" s="49"/>
      <c r="E1089" s="49"/>
    </row>
    <row r="1090" spans="1:5">
      <c r="A1090" s="49"/>
      <c r="B1090" s="49"/>
      <c r="C1090" s="49"/>
      <c r="D1090" s="49"/>
      <c r="E1090" s="49"/>
    </row>
    <row r="1091" spans="1:5">
      <c r="A1091" s="49"/>
      <c r="B1091" s="49"/>
      <c r="C1091" s="49"/>
      <c r="D1091" s="49"/>
      <c r="E1091" s="49"/>
    </row>
    <row r="1092" spans="1:5">
      <c r="A1092" s="49"/>
      <c r="B1092" s="49"/>
      <c r="C1092" s="49"/>
      <c r="D1092" s="49"/>
      <c r="E1092" s="49"/>
    </row>
    <row r="1093" spans="1:5">
      <c r="A1093" s="49"/>
      <c r="B1093" s="49"/>
      <c r="C1093" s="49"/>
      <c r="D1093" s="49"/>
      <c r="E1093" s="49"/>
    </row>
    <row r="1094" spans="1:5">
      <c r="A1094" s="49"/>
      <c r="B1094" s="49"/>
      <c r="C1094" s="49"/>
      <c r="D1094" s="49"/>
      <c r="E1094" s="49"/>
    </row>
    <row r="1095" spans="1:5">
      <c r="A1095" s="49"/>
      <c r="B1095" s="49"/>
      <c r="C1095" s="49"/>
      <c r="D1095" s="49"/>
      <c r="E1095" s="49"/>
    </row>
    <row r="1096" spans="1:5">
      <c r="A1096" s="49"/>
      <c r="B1096" s="49"/>
      <c r="C1096" s="49"/>
      <c r="D1096" s="49"/>
      <c r="E1096" s="49"/>
    </row>
    <row r="1097" spans="1:5">
      <c r="A1097" s="49"/>
      <c r="B1097" s="49"/>
      <c r="C1097" s="49"/>
      <c r="D1097" s="49"/>
      <c r="E1097" s="49"/>
    </row>
    <row r="1098" spans="1:5">
      <c r="A1098" s="49"/>
      <c r="B1098" s="49"/>
      <c r="C1098" s="49"/>
      <c r="D1098" s="49"/>
      <c r="E1098" s="49"/>
    </row>
    <row r="1099" spans="1:5">
      <c r="A1099" s="49"/>
      <c r="B1099" s="49"/>
      <c r="C1099" s="49"/>
      <c r="D1099" s="49"/>
      <c r="E1099" s="49"/>
    </row>
    <row r="1100" spans="1:5">
      <c r="A1100" s="49"/>
      <c r="B1100" s="49"/>
      <c r="C1100" s="49"/>
      <c r="D1100" s="49"/>
      <c r="E1100" s="49"/>
    </row>
    <row r="1101" spans="1:5">
      <c r="A1101" s="49"/>
      <c r="B1101" s="49"/>
      <c r="C1101" s="49"/>
      <c r="D1101" s="49"/>
      <c r="E1101" s="49"/>
    </row>
    <row r="1102" spans="1:5">
      <c r="A1102" s="49"/>
      <c r="B1102" s="49"/>
      <c r="C1102" s="49"/>
      <c r="D1102" s="49"/>
      <c r="E1102" s="49"/>
    </row>
    <row r="1103" spans="1:5">
      <c r="A1103" s="49"/>
      <c r="B1103" s="49"/>
      <c r="C1103" s="49"/>
      <c r="D1103" s="49"/>
      <c r="E1103" s="49"/>
    </row>
    <row r="1104" spans="1:5">
      <c r="A1104" s="49"/>
      <c r="B1104" s="49"/>
      <c r="C1104" s="49"/>
      <c r="D1104" s="49"/>
      <c r="E1104" s="49"/>
    </row>
    <row r="1105" spans="1:5">
      <c r="A1105" s="49"/>
      <c r="B1105" s="49"/>
      <c r="C1105" s="49"/>
      <c r="D1105" s="49"/>
      <c r="E1105" s="49"/>
    </row>
    <row r="1106" spans="1:5">
      <c r="A1106" s="49"/>
      <c r="B1106" s="49"/>
      <c r="C1106" s="49"/>
      <c r="D1106" s="49"/>
      <c r="E1106" s="49"/>
    </row>
    <row r="1107" spans="1:5">
      <c r="A1107" s="49"/>
      <c r="B1107" s="49"/>
      <c r="C1107" s="49"/>
      <c r="D1107" s="49"/>
      <c r="E1107" s="49"/>
    </row>
    <row r="1108" spans="1:5">
      <c r="A1108" s="49"/>
      <c r="B1108" s="49"/>
      <c r="C1108" s="49"/>
      <c r="D1108" s="49"/>
      <c r="E1108" s="49"/>
    </row>
    <row r="1109" spans="1:5">
      <c r="A1109" s="49"/>
      <c r="B1109" s="49"/>
      <c r="C1109" s="49"/>
      <c r="D1109" s="49"/>
      <c r="E1109" s="49"/>
    </row>
    <row r="1110" spans="1:5">
      <c r="A1110" s="49"/>
      <c r="B1110" s="49"/>
      <c r="C1110" s="49"/>
      <c r="D1110" s="49"/>
      <c r="E1110" s="49"/>
    </row>
    <row r="1111" spans="1:5">
      <c r="A1111" s="49"/>
      <c r="B1111" s="49"/>
      <c r="C1111" s="49"/>
      <c r="D1111" s="49"/>
      <c r="E1111" s="49"/>
    </row>
    <row r="1112" spans="1:5">
      <c r="A1112" s="49"/>
      <c r="B1112" s="49"/>
      <c r="C1112" s="49"/>
      <c r="D1112" s="49"/>
      <c r="E1112" s="49"/>
    </row>
    <row r="1113" spans="1:5">
      <c r="A1113" s="49"/>
      <c r="B1113" s="49"/>
      <c r="C1113" s="49"/>
      <c r="D1113" s="49"/>
      <c r="E1113" s="49"/>
    </row>
    <row r="1114" spans="1:5">
      <c r="A1114" s="49"/>
      <c r="B1114" s="49"/>
      <c r="C1114" s="49"/>
      <c r="D1114" s="49"/>
      <c r="E1114" s="49"/>
    </row>
    <row r="1115" spans="1:5">
      <c r="A1115" s="49"/>
      <c r="B1115" s="49"/>
      <c r="C1115" s="49"/>
      <c r="D1115" s="49"/>
      <c r="E1115" s="49"/>
    </row>
    <row r="1116" spans="1:5">
      <c r="A1116" s="49"/>
      <c r="B1116" s="49"/>
      <c r="C1116" s="49"/>
      <c r="D1116" s="49"/>
      <c r="E1116" s="49"/>
    </row>
    <row r="1117" spans="1:5">
      <c r="A1117" s="49"/>
      <c r="B1117" s="49"/>
      <c r="C1117" s="49"/>
      <c r="D1117" s="49"/>
      <c r="E1117" s="49"/>
    </row>
    <row r="1118" spans="1:5">
      <c r="A1118" s="49"/>
      <c r="B1118" s="49"/>
      <c r="C1118" s="49"/>
      <c r="D1118" s="49"/>
      <c r="E1118" s="49"/>
    </row>
    <row r="1119" spans="1:5">
      <c r="A1119" s="49"/>
      <c r="B1119" s="49"/>
      <c r="C1119" s="49"/>
      <c r="D1119" s="49"/>
      <c r="E1119" s="49"/>
    </row>
    <row r="1120" spans="1:5">
      <c r="A1120" s="49"/>
      <c r="B1120" s="49"/>
      <c r="C1120" s="49"/>
      <c r="D1120" s="49"/>
      <c r="E1120" s="49"/>
    </row>
    <row r="1121" spans="1:5">
      <c r="A1121" s="49"/>
      <c r="B1121" s="49"/>
      <c r="C1121" s="49"/>
      <c r="D1121" s="49"/>
      <c r="E1121" s="49"/>
    </row>
    <row r="1122" spans="1:5">
      <c r="A1122" s="49"/>
      <c r="B1122" s="49"/>
      <c r="C1122" s="49"/>
      <c r="D1122" s="49"/>
      <c r="E1122" s="49"/>
    </row>
    <row r="1123" spans="1:5">
      <c r="A1123" s="49"/>
      <c r="B1123" s="49"/>
      <c r="C1123" s="49"/>
      <c r="D1123" s="49"/>
      <c r="E1123" s="49"/>
    </row>
    <row r="1124" spans="1:5">
      <c r="A1124" s="49"/>
      <c r="B1124" s="49"/>
      <c r="C1124" s="49"/>
      <c r="D1124" s="49"/>
      <c r="E1124" s="49"/>
    </row>
    <row r="1125" spans="1:5">
      <c r="A1125" s="49"/>
      <c r="B1125" s="49"/>
      <c r="C1125" s="49"/>
      <c r="D1125" s="49"/>
      <c r="E1125" s="49"/>
    </row>
    <row r="1126" spans="1:5">
      <c r="A1126" s="49"/>
      <c r="B1126" s="49"/>
      <c r="C1126" s="49"/>
      <c r="D1126" s="49"/>
      <c r="E1126" s="49"/>
    </row>
    <row r="1127" spans="1:5">
      <c r="A1127" s="49"/>
      <c r="B1127" s="49"/>
      <c r="C1127" s="49"/>
      <c r="D1127" s="49"/>
      <c r="E1127" s="49"/>
    </row>
    <row r="1128" spans="1:5">
      <c r="A1128" s="49"/>
      <c r="B1128" s="49"/>
      <c r="C1128" s="49"/>
      <c r="D1128" s="49"/>
      <c r="E1128" s="49"/>
    </row>
    <row r="1129" spans="1:5">
      <c r="A1129" s="49"/>
      <c r="B1129" s="49"/>
      <c r="C1129" s="49"/>
      <c r="D1129" s="49"/>
      <c r="E1129" s="49"/>
    </row>
    <row r="1130" spans="1:5">
      <c r="A1130" s="49"/>
      <c r="B1130" s="49"/>
      <c r="C1130" s="49"/>
      <c r="D1130" s="49"/>
      <c r="E1130" s="49"/>
    </row>
    <row r="1131" spans="1:5">
      <c r="A1131" s="49"/>
      <c r="B1131" s="49"/>
      <c r="C1131" s="49"/>
      <c r="D1131" s="49"/>
      <c r="E1131" s="49"/>
    </row>
    <row r="1132" spans="1:5">
      <c r="A1132" s="49"/>
      <c r="B1132" s="49"/>
      <c r="C1132" s="49"/>
      <c r="D1132" s="49"/>
      <c r="E1132" s="49"/>
    </row>
    <row r="1133" spans="1:5">
      <c r="A1133" s="49"/>
      <c r="B1133" s="49"/>
      <c r="C1133" s="49"/>
      <c r="D1133" s="49"/>
      <c r="E1133" s="49"/>
    </row>
    <row r="1134" spans="1:5">
      <c r="A1134" s="49"/>
      <c r="B1134" s="49"/>
      <c r="C1134" s="49"/>
      <c r="D1134" s="49"/>
      <c r="E1134" s="49"/>
    </row>
    <row r="1135" spans="1:5">
      <c r="A1135" s="49"/>
      <c r="B1135" s="49"/>
      <c r="C1135" s="49"/>
      <c r="D1135" s="49"/>
      <c r="E1135" s="49"/>
    </row>
    <row r="1136" spans="1:5">
      <c r="A1136" s="49"/>
      <c r="B1136" s="49"/>
      <c r="C1136" s="49"/>
      <c r="D1136" s="49"/>
      <c r="E1136" s="49"/>
    </row>
    <row r="1137" spans="1:5">
      <c r="A1137" s="49"/>
      <c r="B1137" s="49"/>
      <c r="C1137" s="49"/>
      <c r="D1137" s="49"/>
      <c r="E1137" s="49"/>
    </row>
    <row r="1138" spans="1:5">
      <c r="A1138" s="49"/>
      <c r="B1138" s="49"/>
      <c r="C1138" s="49"/>
      <c r="D1138" s="49"/>
      <c r="E1138" s="49"/>
    </row>
    <row r="1139" spans="1:5">
      <c r="A1139" s="49"/>
      <c r="B1139" s="49"/>
      <c r="C1139" s="49"/>
      <c r="D1139" s="49"/>
      <c r="E1139" s="49"/>
    </row>
    <row r="1140" spans="1:5">
      <c r="A1140" s="49"/>
      <c r="B1140" s="49"/>
      <c r="C1140" s="49"/>
      <c r="D1140" s="49"/>
      <c r="E1140" s="49"/>
    </row>
    <row r="1141" spans="1:5">
      <c r="A1141" s="49"/>
      <c r="B1141" s="49"/>
      <c r="C1141" s="49"/>
      <c r="D1141" s="49"/>
      <c r="E1141" s="49"/>
    </row>
    <row r="1142" spans="1:5">
      <c r="A1142" s="49"/>
      <c r="B1142" s="49"/>
      <c r="C1142" s="49"/>
      <c r="D1142" s="49"/>
      <c r="E1142" s="49"/>
    </row>
    <row r="1143" spans="1:5">
      <c r="A1143" s="49"/>
      <c r="B1143" s="49"/>
      <c r="C1143" s="49"/>
      <c r="D1143" s="49"/>
      <c r="E1143" s="49"/>
    </row>
    <row r="1144" spans="1:5">
      <c r="A1144" s="49"/>
      <c r="B1144" s="49"/>
      <c r="C1144" s="49"/>
      <c r="D1144" s="49"/>
      <c r="E1144" s="49"/>
    </row>
    <row r="1145" spans="1:5">
      <c r="A1145" s="49"/>
      <c r="B1145" s="49"/>
      <c r="C1145" s="49"/>
      <c r="D1145" s="49"/>
      <c r="E1145" s="49"/>
    </row>
    <row r="1146" spans="1:5">
      <c r="A1146" s="49"/>
      <c r="B1146" s="49"/>
      <c r="C1146" s="49"/>
      <c r="D1146" s="49"/>
      <c r="E1146" s="49"/>
    </row>
    <row r="1147" spans="1:5">
      <c r="A1147" s="49"/>
      <c r="B1147" s="49"/>
      <c r="C1147" s="49"/>
      <c r="D1147" s="49"/>
      <c r="E1147" s="49"/>
    </row>
    <row r="1148" spans="1:5">
      <c r="A1148" s="49"/>
      <c r="B1148" s="49"/>
      <c r="C1148" s="49"/>
      <c r="D1148" s="49"/>
      <c r="E1148" s="49"/>
    </row>
    <row r="1149" spans="1:5">
      <c r="A1149" s="49"/>
      <c r="B1149" s="49"/>
      <c r="C1149" s="49"/>
      <c r="D1149" s="49"/>
      <c r="E1149" s="49"/>
    </row>
    <row r="1150" spans="1:5">
      <c r="A1150" s="49"/>
      <c r="B1150" s="49"/>
      <c r="C1150" s="49"/>
      <c r="D1150" s="49"/>
      <c r="E1150" s="49"/>
    </row>
    <row r="1151" spans="1:5">
      <c r="A1151" s="49"/>
      <c r="B1151" s="49"/>
      <c r="C1151" s="49"/>
      <c r="D1151" s="49"/>
      <c r="E1151" s="49"/>
    </row>
    <row r="1152" spans="1:5">
      <c r="A1152" s="49"/>
      <c r="B1152" s="49"/>
      <c r="C1152" s="49"/>
      <c r="D1152" s="49"/>
      <c r="E1152" s="49"/>
    </row>
    <row r="1153" spans="1:5">
      <c r="A1153" s="49"/>
      <c r="B1153" s="49"/>
      <c r="C1153" s="49"/>
      <c r="D1153" s="49"/>
      <c r="E1153" s="49"/>
    </row>
    <row r="1154" spans="1:5">
      <c r="A1154" s="49"/>
      <c r="B1154" s="49"/>
      <c r="C1154" s="49"/>
      <c r="D1154" s="49"/>
      <c r="E1154" s="49"/>
    </row>
    <row r="1155" spans="1:5">
      <c r="A1155" s="49"/>
      <c r="B1155" s="49"/>
      <c r="C1155" s="49"/>
      <c r="D1155" s="49"/>
      <c r="E1155" s="49"/>
    </row>
    <row r="1156" spans="1:5">
      <c r="A1156" s="49"/>
      <c r="B1156" s="49"/>
      <c r="C1156" s="49"/>
      <c r="D1156" s="49"/>
      <c r="E1156" s="49"/>
    </row>
    <row r="1157" spans="1:5">
      <c r="A1157" s="49"/>
      <c r="B1157" s="49"/>
      <c r="C1157" s="49"/>
      <c r="D1157" s="49"/>
      <c r="E1157" s="49"/>
    </row>
    <row r="1158" spans="1:5">
      <c r="A1158" s="49"/>
      <c r="B1158" s="49"/>
      <c r="C1158" s="49"/>
      <c r="D1158" s="49"/>
      <c r="E1158" s="49"/>
    </row>
    <row r="1159" spans="1:5">
      <c r="A1159" s="49"/>
      <c r="B1159" s="49"/>
      <c r="C1159" s="49"/>
      <c r="D1159" s="49"/>
      <c r="E1159" s="49"/>
    </row>
    <row r="1160" spans="1:5">
      <c r="A1160" s="49"/>
      <c r="B1160" s="49"/>
      <c r="C1160" s="49"/>
      <c r="D1160" s="49"/>
      <c r="E1160" s="49"/>
    </row>
    <row r="1161" spans="1:5">
      <c r="A1161" s="49"/>
      <c r="B1161" s="49"/>
      <c r="C1161" s="49"/>
      <c r="D1161" s="49"/>
      <c r="E1161" s="49"/>
    </row>
    <row r="1162" spans="1:5">
      <c r="A1162" s="49"/>
      <c r="B1162" s="49"/>
      <c r="C1162" s="49"/>
      <c r="D1162" s="49"/>
      <c r="E1162" s="49"/>
    </row>
    <row r="1163" spans="1:5">
      <c r="A1163" s="49"/>
      <c r="B1163" s="49"/>
      <c r="C1163" s="49"/>
      <c r="D1163" s="49"/>
      <c r="E1163" s="49"/>
    </row>
    <row r="1164" spans="1:5">
      <c r="A1164" s="49"/>
      <c r="B1164" s="49"/>
      <c r="C1164" s="49"/>
      <c r="D1164" s="49"/>
      <c r="E1164" s="49"/>
    </row>
    <row r="1165" spans="1:5">
      <c r="A1165" s="49"/>
      <c r="B1165" s="49"/>
      <c r="C1165" s="49"/>
      <c r="D1165" s="49"/>
      <c r="E1165" s="49"/>
    </row>
    <row r="1166" spans="1:5">
      <c r="A1166" s="49"/>
      <c r="B1166" s="49"/>
      <c r="C1166" s="49"/>
      <c r="D1166" s="49"/>
      <c r="E1166" s="49"/>
    </row>
    <row r="1167" spans="1:5">
      <c r="A1167" s="49"/>
      <c r="B1167" s="49"/>
      <c r="C1167" s="49"/>
      <c r="D1167" s="49"/>
      <c r="E1167" s="49"/>
    </row>
    <row r="1168" spans="1:5">
      <c r="A1168" s="49"/>
      <c r="B1168" s="49"/>
      <c r="C1168" s="49"/>
      <c r="D1168" s="49"/>
      <c r="E1168" s="49"/>
    </row>
    <row r="1169" spans="1:5">
      <c r="A1169" s="49"/>
      <c r="B1169" s="49"/>
      <c r="C1169" s="49"/>
      <c r="D1169" s="49"/>
      <c r="E1169" s="49"/>
    </row>
    <row r="1170" spans="1:5">
      <c r="A1170" s="49"/>
      <c r="B1170" s="49"/>
      <c r="C1170" s="49"/>
      <c r="D1170" s="49"/>
      <c r="E1170" s="49"/>
    </row>
    <row r="1171" spans="1:5">
      <c r="A1171" s="49"/>
      <c r="B1171" s="49"/>
      <c r="C1171" s="49"/>
      <c r="D1171" s="49"/>
      <c r="E1171" s="49"/>
    </row>
    <row r="1172" spans="1:5">
      <c r="A1172" s="49"/>
      <c r="B1172" s="49"/>
      <c r="C1172" s="49"/>
      <c r="D1172" s="49"/>
      <c r="E1172" s="49"/>
    </row>
    <row r="1173" spans="1:5">
      <c r="A1173" s="49"/>
      <c r="B1173" s="49"/>
      <c r="C1173" s="49"/>
      <c r="D1173" s="49"/>
      <c r="E1173" s="49"/>
    </row>
    <row r="1174" spans="1:5">
      <c r="A1174" s="49"/>
      <c r="B1174" s="49"/>
      <c r="C1174" s="49"/>
      <c r="D1174" s="49"/>
      <c r="E1174" s="49"/>
    </row>
    <row r="1175" spans="1:5">
      <c r="A1175" s="49"/>
      <c r="B1175" s="49"/>
      <c r="C1175" s="49"/>
      <c r="D1175" s="49"/>
      <c r="E1175" s="49"/>
    </row>
    <row r="1176" spans="1:5">
      <c r="A1176" s="49"/>
      <c r="B1176" s="49"/>
      <c r="C1176" s="49"/>
      <c r="D1176" s="49"/>
      <c r="E1176" s="49"/>
    </row>
    <row r="1177" spans="1:5">
      <c r="A1177" s="49"/>
      <c r="B1177" s="49"/>
      <c r="C1177" s="49"/>
      <c r="D1177" s="49"/>
      <c r="E1177" s="49"/>
    </row>
    <row r="1178" spans="1:5">
      <c r="A1178" s="49"/>
      <c r="B1178" s="49"/>
      <c r="C1178" s="49"/>
      <c r="D1178" s="49"/>
      <c r="E1178" s="49"/>
    </row>
    <row r="1179" spans="1:5">
      <c r="A1179" s="49"/>
      <c r="B1179" s="49"/>
      <c r="C1179" s="49"/>
      <c r="D1179" s="49"/>
      <c r="E1179" s="49"/>
    </row>
    <row r="1180" spans="1:5">
      <c r="A1180" s="49"/>
      <c r="B1180" s="49"/>
      <c r="C1180" s="49"/>
      <c r="D1180" s="49"/>
      <c r="E1180" s="49"/>
    </row>
    <row r="1181" spans="1:5">
      <c r="A1181" s="49"/>
      <c r="B1181" s="49"/>
      <c r="C1181" s="49"/>
      <c r="D1181" s="49"/>
      <c r="E1181" s="49"/>
    </row>
    <row r="1182" spans="1:5">
      <c r="A1182" s="49"/>
      <c r="B1182" s="49"/>
      <c r="C1182" s="49"/>
      <c r="D1182" s="49"/>
      <c r="E1182" s="49"/>
    </row>
    <row r="1183" spans="1:5">
      <c r="A1183" s="49"/>
      <c r="B1183" s="49"/>
      <c r="C1183" s="49"/>
      <c r="D1183" s="49"/>
      <c r="E1183" s="49"/>
    </row>
    <row r="1184" spans="1:5">
      <c r="A1184" s="49"/>
      <c r="B1184" s="49"/>
      <c r="C1184" s="49"/>
      <c r="D1184" s="49"/>
      <c r="E1184" s="49"/>
    </row>
    <row r="1185" spans="1:5">
      <c r="A1185" s="49"/>
      <c r="B1185" s="49"/>
      <c r="C1185" s="49"/>
      <c r="D1185" s="49"/>
      <c r="E1185" s="49"/>
    </row>
    <row r="1186" spans="1:5">
      <c r="A1186" s="49"/>
      <c r="B1186" s="49"/>
      <c r="C1186" s="49"/>
      <c r="D1186" s="49"/>
      <c r="E1186" s="49"/>
    </row>
    <row r="1187" spans="1:5">
      <c r="A1187" s="49"/>
      <c r="B1187" s="49"/>
      <c r="C1187" s="49"/>
      <c r="D1187" s="49"/>
      <c r="E1187" s="49"/>
    </row>
    <row r="1188" spans="1:5">
      <c r="A1188" s="49"/>
      <c r="B1188" s="49"/>
      <c r="C1188" s="49"/>
      <c r="D1188" s="49"/>
      <c r="E1188" s="49"/>
    </row>
    <row r="1189" spans="1:5">
      <c r="A1189" s="49"/>
      <c r="B1189" s="49"/>
      <c r="C1189" s="49"/>
      <c r="D1189" s="49"/>
      <c r="E1189" s="49"/>
    </row>
    <row r="1190" spans="1:5">
      <c r="A1190" s="49"/>
      <c r="B1190" s="49"/>
      <c r="C1190" s="49"/>
      <c r="D1190" s="49"/>
      <c r="E1190" s="49"/>
    </row>
    <row r="1191" spans="1:5">
      <c r="A1191" s="49"/>
      <c r="B1191" s="49"/>
      <c r="C1191" s="49"/>
      <c r="D1191" s="49"/>
      <c r="E1191" s="49"/>
    </row>
    <row r="1192" spans="1:5">
      <c r="A1192" s="49"/>
      <c r="B1192" s="49"/>
      <c r="C1192" s="49"/>
      <c r="D1192" s="49"/>
      <c r="E1192" s="49"/>
    </row>
    <row r="1193" spans="1:5">
      <c r="A1193" s="49"/>
      <c r="B1193" s="49"/>
      <c r="C1193" s="49"/>
      <c r="D1193" s="49"/>
      <c r="E1193" s="49"/>
    </row>
    <row r="1194" spans="1:5">
      <c r="A1194" s="49"/>
      <c r="B1194" s="49"/>
      <c r="C1194" s="49"/>
      <c r="D1194" s="49"/>
      <c r="E1194" s="49"/>
    </row>
    <row r="1195" spans="1:5">
      <c r="A1195" s="49"/>
      <c r="B1195" s="49"/>
      <c r="C1195" s="49"/>
      <c r="D1195" s="49"/>
      <c r="E1195" s="49"/>
    </row>
    <row r="1196" spans="1:5">
      <c r="A1196" s="49"/>
      <c r="B1196" s="49"/>
      <c r="C1196" s="49"/>
      <c r="D1196" s="49"/>
      <c r="E1196" s="49"/>
    </row>
    <row r="1197" spans="1:5">
      <c r="A1197" s="49"/>
      <c r="B1197" s="49"/>
      <c r="C1197" s="49"/>
      <c r="D1197" s="49"/>
      <c r="E1197" s="49"/>
    </row>
    <row r="1198" spans="1:5">
      <c r="A1198" s="49"/>
      <c r="B1198" s="49"/>
      <c r="C1198" s="49"/>
      <c r="D1198" s="49"/>
      <c r="E1198" s="49"/>
    </row>
    <row r="1199" spans="1:5">
      <c r="A1199" s="49"/>
      <c r="B1199" s="49"/>
      <c r="C1199" s="49"/>
      <c r="D1199" s="49"/>
      <c r="E1199" s="49"/>
    </row>
    <row r="1200" spans="1:5">
      <c r="A1200" s="49"/>
      <c r="B1200" s="49"/>
      <c r="C1200" s="49"/>
      <c r="D1200" s="49"/>
      <c r="E1200" s="49"/>
    </row>
    <row r="1201" spans="1:5">
      <c r="A1201" s="49"/>
      <c r="B1201" s="49"/>
      <c r="C1201" s="49"/>
      <c r="D1201" s="49"/>
      <c r="E1201" s="49"/>
    </row>
    <row r="1202" spans="1:5">
      <c r="A1202" s="49"/>
      <c r="B1202" s="49"/>
      <c r="C1202" s="49"/>
      <c r="D1202" s="49"/>
      <c r="E1202" s="49"/>
    </row>
    <row r="1203" spans="1:5">
      <c r="A1203" s="49"/>
      <c r="B1203" s="49"/>
      <c r="C1203" s="49"/>
      <c r="D1203" s="49"/>
      <c r="E1203" s="49"/>
    </row>
    <row r="1204" spans="1:5">
      <c r="A1204" s="49"/>
      <c r="B1204" s="49"/>
      <c r="C1204" s="49"/>
      <c r="D1204" s="49"/>
      <c r="E1204" s="49"/>
    </row>
    <row r="1205" spans="1:5">
      <c r="A1205" s="49"/>
      <c r="B1205" s="49"/>
      <c r="C1205" s="49"/>
      <c r="D1205" s="49"/>
      <c r="E1205" s="49"/>
    </row>
    <row r="1206" spans="1:5">
      <c r="A1206" s="49"/>
      <c r="B1206" s="49"/>
      <c r="C1206" s="49"/>
      <c r="D1206" s="49"/>
      <c r="E1206" s="49"/>
    </row>
    <row r="1207" spans="1:5">
      <c r="A1207" s="49"/>
      <c r="B1207" s="49"/>
      <c r="C1207" s="49"/>
      <c r="D1207" s="49"/>
      <c r="E1207" s="49"/>
    </row>
    <row r="1208" spans="1:5">
      <c r="A1208" s="49"/>
      <c r="B1208" s="49"/>
      <c r="C1208" s="49"/>
      <c r="D1208" s="49"/>
      <c r="E1208" s="49"/>
    </row>
    <row r="1209" spans="1:5">
      <c r="A1209" s="49"/>
      <c r="B1209" s="49"/>
      <c r="C1209" s="49"/>
      <c r="D1209" s="49"/>
      <c r="E1209" s="49"/>
    </row>
    <row r="1210" spans="1:5">
      <c r="A1210" s="49"/>
      <c r="B1210" s="49"/>
      <c r="C1210" s="49"/>
      <c r="D1210" s="49"/>
      <c r="E1210" s="49"/>
    </row>
    <row r="1211" spans="1:5">
      <c r="A1211" s="49"/>
      <c r="B1211" s="49"/>
      <c r="C1211" s="49"/>
      <c r="D1211" s="49"/>
      <c r="E1211" s="49"/>
    </row>
    <row r="1212" spans="1:5">
      <c r="A1212" s="49"/>
      <c r="B1212" s="49"/>
      <c r="C1212" s="49"/>
      <c r="D1212" s="49"/>
      <c r="E1212" s="49"/>
    </row>
    <row r="1213" spans="1:5">
      <c r="A1213" s="49"/>
      <c r="B1213" s="49"/>
      <c r="C1213" s="49"/>
      <c r="D1213" s="49"/>
      <c r="E1213" s="49"/>
    </row>
    <row r="1214" spans="1:5">
      <c r="A1214" s="49"/>
      <c r="B1214" s="49"/>
      <c r="C1214" s="49"/>
      <c r="D1214" s="49"/>
      <c r="E1214" s="49"/>
    </row>
    <row r="1215" spans="1:5">
      <c r="A1215" s="49"/>
      <c r="B1215" s="49"/>
      <c r="C1215" s="49"/>
      <c r="D1215" s="49"/>
      <c r="E1215" s="49"/>
    </row>
    <row r="1216" spans="1:5">
      <c r="A1216" s="49"/>
      <c r="B1216" s="49"/>
      <c r="C1216" s="49"/>
      <c r="D1216" s="49"/>
      <c r="E1216" s="49"/>
    </row>
    <row r="1217" spans="1:5">
      <c r="A1217" s="49"/>
      <c r="B1217" s="49"/>
      <c r="C1217" s="49"/>
      <c r="D1217" s="49"/>
      <c r="E1217" s="49"/>
    </row>
    <row r="1218" spans="1:5">
      <c r="A1218" s="49"/>
      <c r="B1218" s="49"/>
      <c r="C1218" s="49"/>
      <c r="D1218" s="49"/>
      <c r="E1218" s="49"/>
    </row>
    <row r="1219" spans="1:5">
      <c r="A1219" s="49"/>
      <c r="B1219" s="49"/>
      <c r="C1219" s="49"/>
      <c r="D1219" s="49"/>
      <c r="E1219" s="49"/>
    </row>
    <row r="1220" spans="1:5">
      <c r="A1220" s="49"/>
      <c r="B1220" s="49"/>
      <c r="C1220" s="49"/>
      <c r="D1220" s="49"/>
      <c r="E1220" s="49"/>
    </row>
    <row r="1221" spans="1:5">
      <c r="A1221" s="49"/>
      <c r="B1221" s="49"/>
      <c r="C1221" s="49"/>
      <c r="D1221" s="49"/>
      <c r="E1221" s="49"/>
    </row>
    <row r="1222" spans="1:5">
      <c r="A1222" s="49"/>
      <c r="B1222" s="49"/>
      <c r="C1222" s="49"/>
      <c r="D1222" s="49"/>
      <c r="E1222" s="49"/>
    </row>
    <row r="1223" spans="1:5">
      <c r="A1223" s="49"/>
      <c r="B1223" s="49"/>
      <c r="C1223" s="49"/>
      <c r="D1223" s="49"/>
      <c r="E1223" s="49"/>
    </row>
    <row r="1224" spans="1:5">
      <c r="A1224" s="49"/>
      <c r="B1224" s="49"/>
      <c r="C1224" s="49"/>
      <c r="D1224" s="49"/>
      <c r="E1224" s="49"/>
    </row>
    <row r="1225" spans="1:5">
      <c r="A1225" s="49"/>
      <c r="B1225" s="49"/>
      <c r="C1225" s="49"/>
      <c r="D1225" s="49"/>
      <c r="E1225" s="49"/>
    </row>
    <row r="1226" spans="1:5">
      <c r="A1226" s="49"/>
      <c r="B1226" s="49"/>
      <c r="C1226" s="49"/>
      <c r="D1226" s="49"/>
      <c r="E1226" s="49"/>
    </row>
    <row r="1227" spans="1:5">
      <c r="A1227" s="49"/>
      <c r="B1227" s="49"/>
      <c r="C1227" s="49"/>
      <c r="D1227" s="49"/>
      <c r="E1227" s="49"/>
    </row>
    <row r="1228" spans="1:5">
      <c r="A1228" s="49"/>
      <c r="B1228" s="49"/>
      <c r="C1228" s="49"/>
      <c r="D1228" s="49"/>
      <c r="E1228" s="49"/>
    </row>
    <row r="1229" spans="1:5">
      <c r="A1229" s="49"/>
      <c r="B1229" s="49"/>
      <c r="C1229" s="49"/>
      <c r="D1229" s="49"/>
      <c r="E1229" s="49"/>
    </row>
    <row r="1230" spans="1:5">
      <c r="A1230" s="49"/>
      <c r="B1230" s="49"/>
      <c r="C1230" s="49"/>
      <c r="D1230" s="49"/>
      <c r="E1230" s="49"/>
    </row>
    <row r="1231" spans="1:5">
      <c r="A1231" s="49"/>
      <c r="B1231" s="49"/>
      <c r="C1231" s="49"/>
      <c r="D1231" s="49"/>
      <c r="E1231" s="49"/>
    </row>
    <row r="1232" spans="1:5">
      <c r="A1232" s="49"/>
      <c r="B1232" s="49"/>
      <c r="C1232" s="49"/>
      <c r="D1232" s="49"/>
      <c r="E1232" s="49"/>
    </row>
    <row r="1233" spans="1:5">
      <c r="A1233" s="49"/>
      <c r="B1233" s="49"/>
      <c r="C1233" s="49"/>
      <c r="D1233" s="49"/>
      <c r="E1233" s="49"/>
    </row>
    <row r="1234" spans="1:5">
      <c r="A1234" s="49"/>
      <c r="B1234" s="49"/>
      <c r="C1234" s="49"/>
      <c r="D1234" s="49"/>
      <c r="E1234" s="49"/>
    </row>
    <row r="1235" spans="1:5">
      <c r="A1235" s="49"/>
      <c r="B1235" s="49"/>
      <c r="C1235" s="49"/>
      <c r="D1235" s="49"/>
      <c r="E1235" s="49"/>
    </row>
    <row r="1236" spans="1:5">
      <c r="A1236" s="49"/>
      <c r="B1236" s="49"/>
      <c r="C1236" s="49"/>
      <c r="D1236" s="49"/>
      <c r="E1236" s="49"/>
    </row>
    <row r="1237" spans="1:5">
      <c r="A1237" s="49"/>
      <c r="B1237" s="49"/>
      <c r="C1237" s="49"/>
      <c r="D1237" s="49"/>
      <c r="E1237" s="49"/>
    </row>
    <row r="1238" spans="1:5">
      <c r="A1238" s="49"/>
      <c r="B1238" s="49"/>
      <c r="C1238" s="49"/>
      <c r="D1238" s="49"/>
      <c r="E1238" s="49"/>
    </row>
    <row r="1239" spans="1:5">
      <c r="A1239" s="49"/>
      <c r="B1239" s="49"/>
      <c r="C1239" s="49"/>
      <c r="D1239" s="49"/>
      <c r="E1239" s="49"/>
    </row>
    <row r="1240" spans="1:5">
      <c r="A1240" s="49"/>
      <c r="B1240" s="49"/>
      <c r="C1240" s="49"/>
      <c r="D1240" s="49"/>
      <c r="E1240" s="49"/>
    </row>
    <row r="1241" spans="1:5">
      <c r="A1241" s="49"/>
      <c r="B1241" s="49"/>
      <c r="C1241" s="49"/>
      <c r="D1241" s="49"/>
      <c r="E1241" s="49"/>
    </row>
    <row r="1242" spans="1:5">
      <c r="A1242" s="49"/>
      <c r="B1242" s="49"/>
      <c r="C1242" s="49"/>
      <c r="D1242" s="49"/>
      <c r="E1242" s="49"/>
    </row>
    <row r="1243" spans="1:5">
      <c r="A1243" s="49"/>
      <c r="B1243" s="49"/>
      <c r="C1243" s="49"/>
      <c r="D1243" s="49"/>
      <c r="E1243" s="49"/>
    </row>
    <row r="1244" spans="1:5">
      <c r="A1244" s="49"/>
      <c r="B1244" s="49"/>
      <c r="C1244" s="49"/>
      <c r="D1244" s="49"/>
      <c r="E1244" s="49"/>
    </row>
    <row r="1245" spans="1:5">
      <c r="A1245" s="49"/>
      <c r="B1245" s="49"/>
      <c r="C1245" s="49"/>
      <c r="D1245" s="49"/>
      <c r="E1245" s="49"/>
    </row>
    <row r="1246" spans="1:5">
      <c r="A1246" s="49"/>
      <c r="B1246" s="49"/>
      <c r="C1246" s="49"/>
      <c r="D1246" s="49"/>
      <c r="E1246" s="49"/>
    </row>
    <row r="1247" spans="1:5">
      <c r="A1247" s="49"/>
      <c r="B1247" s="49"/>
      <c r="C1247" s="49"/>
      <c r="D1247" s="49"/>
      <c r="E1247" s="49"/>
    </row>
    <row r="1248" spans="1:5">
      <c r="A1248" s="49"/>
      <c r="B1248" s="49"/>
      <c r="C1248" s="49"/>
      <c r="D1248" s="49"/>
      <c r="E1248" s="49"/>
    </row>
    <row r="1249" spans="1:5">
      <c r="A1249" s="49"/>
      <c r="B1249" s="49"/>
      <c r="C1249" s="49"/>
      <c r="D1249" s="49"/>
      <c r="E1249" s="49"/>
    </row>
    <row r="1250" spans="1:5">
      <c r="A1250" s="49"/>
      <c r="B1250" s="49"/>
      <c r="C1250" s="49"/>
      <c r="D1250" s="49"/>
      <c r="E1250" s="49"/>
    </row>
    <row r="1251" spans="1:5">
      <c r="A1251" s="49"/>
      <c r="B1251" s="49"/>
      <c r="C1251" s="49"/>
      <c r="D1251" s="49"/>
      <c r="E1251" s="49"/>
    </row>
    <row r="1252" spans="1:5">
      <c r="A1252" s="49"/>
      <c r="B1252" s="49"/>
      <c r="C1252" s="49"/>
      <c r="D1252" s="49"/>
      <c r="E1252" s="49"/>
    </row>
    <row r="1253" spans="1:5">
      <c r="A1253" s="49"/>
      <c r="B1253" s="49"/>
      <c r="C1253" s="49"/>
      <c r="D1253" s="49"/>
      <c r="E1253" s="49"/>
    </row>
    <row r="1254" spans="1:5">
      <c r="A1254" s="49"/>
      <c r="B1254" s="49"/>
      <c r="C1254" s="49"/>
      <c r="D1254" s="49"/>
      <c r="E1254" s="49"/>
    </row>
    <row r="1255" spans="1:5">
      <c r="A1255" s="49"/>
      <c r="B1255" s="49"/>
      <c r="C1255" s="49"/>
      <c r="D1255" s="49"/>
      <c r="E1255" s="49"/>
    </row>
    <row r="1256" spans="1:5">
      <c r="A1256" s="49"/>
      <c r="B1256" s="49"/>
      <c r="C1256" s="49"/>
      <c r="D1256" s="49"/>
      <c r="E1256" s="49"/>
    </row>
    <row r="1257" spans="1:5">
      <c r="A1257" s="49"/>
      <c r="B1257" s="49"/>
      <c r="C1257" s="49"/>
      <c r="D1257" s="49"/>
      <c r="E1257" s="49"/>
    </row>
    <row r="1258" spans="1:5">
      <c r="A1258" s="49"/>
      <c r="B1258" s="49"/>
      <c r="C1258" s="49"/>
      <c r="D1258" s="49"/>
      <c r="E1258" s="49"/>
    </row>
    <row r="1259" spans="1:5">
      <c r="A1259" s="49"/>
      <c r="B1259" s="49"/>
      <c r="C1259" s="49"/>
      <c r="D1259" s="49"/>
      <c r="E1259" s="49"/>
    </row>
    <row r="1260" spans="1:5">
      <c r="A1260" s="49"/>
      <c r="B1260" s="49"/>
      <c r="C1260" s="49"/>
      <c r="D1260" s="49"/>
      <c r="E1260" s="49"/>
    </row>
    <row r="1261" spans="1:5">
      <c r="A1261" s="49"/>
      <c r="B1261" s="49"/>
      <c r="C1261" s="49"/>
      <c r="D1261" s="49"/>
      <c r="E1261" s="49"/>
    </row>
    <row r="1262" spans="1:5">
      <c r="A1262" s="49"/>
      <c r="B1262" s="49"/>
      <c r="C1262" s="49"/>
      <c r="D1262" s="49"/>
      <c r="E1262" s="49"/>
    </row>
    <row r="1263" spans="1:5">
      <c r="A1263" s="49"/>
      <c r="B1263" s="49"/>
      <c r="C1263" s="49"/>
      <c r="D1263" s="49"/>
      <c r="E1263" s="49"/>
    </row>
    <row r="1264" spans="1:5">
      <c r="A1264" s="49"/>
      <c r="B1264" s="49"/>
      <c r="C1264" s="49"/>
      <c r="D1264" s="49"/>
      <c r="E1264" s="49"/>
    </row>
    <row r="1265" spans="1:5">
      <c r="A1265" s="49"/>
      <c r="B1265" s="49"/>
      <c r="C1265" s="49"/>
      <c r="D1265" s="49"/>
      <c r="E1265" s="49"/>
    </row>
    <row r="1266" spans="1:5">
      <c r="A1266" s="49"/>
      <c r="B1266" s="49"/>
      <c r="C1266" s="49"/>
      <c r="D1266" s="49"/>
      <c r="E1266" s="49"/>
    </row>
    <row r="1267" spans="1:5">
      <c r="A1267" s="49"/>
      <c r="B1267" s="49"/>
      <c r="C1267" s="49"/>
      <c r="D1267" s="49"/>
      <c r="E1267" s="49"/>
    </row>
    <row r="1268" spans="1:5">
      <c r="A1268" s="49"/>
      <c r="B1268" s="49"/>
      <c r="C1268" s="49"/>
      <c r="D1268" s="49"/>
      <c r="E1268" s="49"/>
    </row>
    <row r="1269" spans="1:5">
      <c r="A1269" s="49"/>
      <c r="B1269" s="49"/>
      <c r="C1269" s="49"/>
      <c r="D1269" s="49"/>
      <c r="E1269" s="49"/>
    </row>
    <row r="1270" spans="1:5">
      <c r="A1270" s="49"/>
      <c r="B1270" s="49"/>
      <c r="C1270" s="49"/>
      <c r="D1270" s="49"/>
      <c r="E1270" s="49"/>
    </row>
    <row r="1271" spans="1:5">
      <c r="A1271" s="49"/>
      <c r="B1271" s="49"/>
      <c r="C1271" s="49"/>
      <c r="D1271" s="49"/>
      <c r="E1271" s="49"/>
    </row>
    <row r="1272" spans="1:5">
      <c r="A1272" s="49"/>
      <c r="B1272" s="49"/>
      <c r="C1272" s="49"/>
      <c r="D1272" s="49"/>
      <c r="E1272" s="49"/>
    </row>
    <row r="1273" spans="1:5">
      <c r="A1273" s="49"/>
      <c r="B1273" s="49"/>
      <c r="C1273" s="49"/>
      <c r="D1273" s="49"/>
      <c r="E1273" s="49"/>
    </row>
    <row r="1274" spans="1:5">
      <c r="A1274" s="49"/>
      <c r="B1274" s="49"/>
      <c r="C1274" s="49"/>
      <c r="D1274" s="49"/>
      <c r="E1274" s="49"/>
    </row>
    <row r="1275" spans="1:5">
      <c r="A1275" s="49"/>
      <c r="B1275" s="49"/>
      <c r="C1275" s="49"/>
      <c r="D1275" s="49"/>
      <c r="E1275" s="49"/>
    </row>
    <row r="1276" spans="1:5">
      <c r="A1276" s="49"/>
      <c r="B1276" s="49"/>
      <c r="C1276" s="49"/>
      <c r="D1276" s="49"/>
      <c r="E1276" s="49"/>
    </row>
    <row r="1277" spans="1:5">
      <c r="A1277" s="49"/>
      <c r="B1277" s="49"/>
      <c r="C1277" s="49"/>
      <c r="D1277" s="49"/>
      <c r="E1277" s="49"/>
    </row>
    <row r="1278" spans="1:5">
      <c r="A1278" s="49"/>
      <c r="B1278" s="49"/>
      <c r="C1278" s="49"/>
      <c r="D1278" s="49"/>
      <c r="E1278" s="49"/>
    </row>
    <row r="1279" spans="1:5">
      <c r="A1279" s="49"/>
      <c r="B1279" s="49"/>
      <c r="C1279" s="49"/>
      <c r="D1279" s="49"/>
      <c r="E1279" s="49"/>
    </row>
    <row r="1280" spans="1:5">
      <c r="A1280" s="49"/>
      <c r="B1280" s="49"/>
      <c r="C1280" s="49"/>
      <c r="D1280" s="49"/>
      <c r="E1280" s="49"/>
    </row>
    <row r="1281" spans="1:5">
      <c r="A1281" s="49"/>
      <c r="B1281" s="49"/>
      <c r="C1281" s="49"/>
      <c r="D1281" s="49"/>
      <c r="E1281" s="49"/>
    </row>
    <row r="1282" spans="1:5">
      <c r="A1282" s="49"/>
      <c r="B1282" s="49"/>
      <c r="C1282" s="49"/>
      <c r="D1282" s="49"/>
      <c r="E1282" s="49"/>
    </row>
    <row r="1283" spans="1:5">
      <c r="A1283" s="49"/>
      <c r="B1283" s="49"/>
      <c r="C1283" s="49"/>
      <c r="D1283" s="49"/>
      <c r="E1283" s="49"/>
    </row>
    <row r="1284" spans="1:5">
      <c r="A1284" s="49"/>
      <c r="B1284" s="49"/>
      <c r="C1284" s="49"/>
      <c r="D1284" s="49"/>
      <c r="E1284" s="49"/>
    </row>
    <row r="1285" spans="1:5">
      <c r="A1285" s="49"/>
      <c r="B1285" s="49"/>
      <c r="C1285" s="49"/>
      <c r="D1285" s="49"/>
      <c r="E1285" s="49"/>
    </row>
    <row r="1286" spans="1:5">
      <c r="A1286" s="49"/>
      <c r="B1286" s="49"/>
      <c r="C1286" s="49"/>
      <c r="D1286" s="49"/>
      <c r="E1286" s="49"/>
    </row>
    <row r="1287" spans="1:5">
      <c r="A1287" s="49"/>
      <c r="B1287" s="49"/>
      <c r="C1287" s="49"/>
      <c r="D1287" s="49"/>
      <c r="E1287" s="49"/>
    </row>
    <row r="1288" spans="1:5">
      <c r="A1288" s="49"/>
      <c r="B1288" s="49"/>
      <c r="C1288" s="49"/>
      <c r="D1288" s="49"/>
      <c r="E1288" s="49"/>
    </row>
    <row r="1289" spans="1:5">
      <c r="A1289" s="49"/>
      <c r="B1289" s="49"/>
      <c r="C1289" s="49"/>
      <c r="D1289" s="49"/>
      <c r="E1289" s="49"/>
    </row>
    <row r="1290" spans="1:5">
      <c r="A1290" s="49"/>
      <c r="B1290" s="49"/>
      <c r="C1290" s="49"/>
      <c r="D1290" s="49"/>
      <c r="E1290" s="49"/>
    </row>
    <row r="1291" spans="1:5">
      <c r="A1291" s="49"/>
      <c r="B1291" s="49"/>
      <c r="C1291" s="49"/>
      <c r="D1291" s="49"/>
      <c r="E1291" s="49"/>
    </row>
    <row r="1292" spans="1:5">
      <c r="A1292" s="49"/>
      <c r="B1292" s="49"/>
      <c r="C1292" s="49"/>
      <c r="D1292" s="49"/>
      <c r="E1292" s="49"/>
    </row>
    <row r="1293" spans="1:5">
      <c r="A1293" s="49"/>
      <c r="B1293" s="49"/>
      <c r="C1293" s="49"/>
      <c r="D1293" s="49"/>
      <c r="E1293" s="49"/>
    </row>
    <row r="1294" spans="1:5">
      <c r="A1294" s="49"/>
      <c r="B1294" s="49"/>
      <c r="C1294" s="49"/>
      <c r="D1294" s="49"/>
      <c r="E1294" s="49"/>
    </row>
    <row r="1295" spans="1:5">
      <c r="A1295" s="49"/>
      <c r="B1295" s="49"/>
      <c r="C1295" s="49"/>
      <c r="D1295" s="49"/>
      <c r="E1295" s="49"/>
    </row>
    <row r="1296" spans="1:5">
      <c r="A1296" s="49"/>
      <c r="B1296" s="49"/>
      <c r="C1296" s="49"/>
      <c r="D1296" s="49"/>
      <c r="E1296" s="49"/>
    </row>
    <row r="1297" spans="1:5">
      <c r="A1297" s="49"/>
      <c r="B1297" s="49"/>
      <c r="C1297" s="49"/>
      <c r="D1297" s="49"/>
      <c r="E1297" s="49"/>
    </row>
    <row r="1298" spans="1:5">
      <c r="A1298" s="49"/>
      <c r="B1298" s="49"/>
      <c r="C1298" s="49"/>
      <c r="D1298" s="49"/>
      <c r="E1298" s="49"/>
    </row>
    <row r="1299" spans="1:5">
      <c r="A1299" s="49"/>
      <c r="B1299" s="49"/>
      <c r="C1299" s="49"/>
      <c r="D1299" s="49"/>
      <c r="E1299" s="49"/>
    </row>
    <row r="1300" spans="1:5">
      <c r="A1300" s="49"/>
      <c r="B1300" s="49"/>
      <c r="C1300" s="49"/>
      <c r="D1300" s="49"/>
      <c r="E1300" s="49"/>
    </row>
    <row r="1301" spans="1:5">
      <c r="A1301" s="49"/>
      <c r="B1301" s="49"/>
      <c r="C1301" s="49"/>
      <c r="D1301" s="49"/>
      <c r="E1301" s="49"/>
    </row>
    <row r="1302" spans="1:5">
      <c r="A1302" s="49"/>
      <c r="B1302" s="49"/>
      <c r="C1302" s="49"/>
      <c r="D1302" s="49"/>
      <c r="E1302" s="49"/>
    </row>
    <row r="1303" spans="1:5">
      <c r="A1303" s="49"/>
      <c r="B1303" s="49"/>
      <c r="C1303" s="49"/>
      <c r="D1303" s="49"/>
      <c r="E1303" s="49"/>
    </row>
    <row r="1304" spans="1:5">
      <c r="A1304" s="49"/>
      <c r="B1304" s="49"/>
      <c r="C1304" s="49"/>
      <c r="D1304" s="49"/>
      <c r="E1304" s="49"/>
    </row>
    <row r="1305" spans="1:5">
      <c r="A1305" s="49"/>
      <c r="B1305" s="49"/>
      <c r="C1305" s="49"/>
      <c r="D1305" s="49"/>
      <c r="E1305" s="49"/>
    </row>
    <row r="1306" spans="1:5">
      <c r="A1306" s="49"/>
      <c r="B1306" s="49"/>
      <c r="C1306" s="49"/>
      <c r="D1306" s="49"/>
      <c r="E1306" s="49"/>
    </row>
    <row r="1307" spans="1:5">
      <c r="A1307" s="49"/>
      <c r="B1307" s="49"/>
      <c r="C1307" s="49"/>
      <c r="D1307" s="49"/>
      <c r="E1307" s="49"/>
    </row>
    <row r="1308" spans="1:5">
      <c r="A1308" s="49"/>
      <c r="B1308" s="49"/>
      <c r="C1308" s="49"/>
      <c r="D1308" s="49"/>
      <c r="E1308" s="49"/>
    </row>
    <row r="1309" spans="1:5">
      <c r="A1309" s="49"/>
      <c r="B1309" s="49"/>
      <c r="C1309" s="49"/>
      <c r="D1309" s="49"/>
      <c r="E1309" s="49"/>
    </row>
    <row r="1310" spans="1:5">
      <c r="A1310" s="49"/>
      <c r="B1310" s="49"/>
      <c r="C1310" s="49"/>
      <c r="D1310" s="49"/>
      <c r="E1310" s="49"/>
    </row>
    <row r="1311" spans="1:5">
      <c r="A1311" s="49"/>
      <c r="B1311" s="49"/>
      <c r="C1311" s="49"/>
      <c r="D1311" s="49"/>
      <c r="E1311" s="49"/>
    </row>
    <row r="1312" spans="1:5">
      <c r="A1312" s="49"/>
      <c r="B1312" s="49"/>
      <c r="C1312" s="49"/>
      <c r="D1312" s="49"/>
      <c r="E1312" s="49"/>
    </row>
    <row r="1313" spans="1:5">
      <c r="A1313" s="49"/>
      <c r="B1313" s="49"/>
      <c r="C1313" s="49"/>
      <c r="D1313" s="49"/>
      <c r="E1313" s="49"/>
    </row>
    <row r="1314" spans="1:5">
      <c r="A1314" s="49"/>
      <c r="B1314" s="49"/>
      <c r="C1314" s="49"/>
      <c r="D1314" s="49"/>
      <c r="E1314" s="49"/>
    </row>
    <row r="1315" spans="1:5">
      <c r="A1315" s="49"/>
      <c r="B1315" s="49"/>
      <c r="C1315" s="49"/>
      <c r="D1315" s="49"/>
      <c r="E1315" s="49"/>
    </row>
    <row r="1316" spans="1:5">
      <c r="A1316" s="49"/>
      <c r="B1316" s="49"/>
      <c r="C1316" s="49"/>
      <c r="D1316" s="49"/>
      <c r="E1316" s="49"/>
    </row>
    <row r="1317" spans="1:5">
      <c r="A1317" s="49"/>
      <c r="B1317" s="49"/>
      <c r="C1317" s="49"/>
      <c r="D1317" s="49"/>
      <c r="E1317" s="49"/>
    </row>
    <row r="1318" spans="1:5">
      <c r="A1318" s="49"/>
      <c r="B1318" s="49"/>
      <c r="C1318" s="49"/>
      <c r="D1318" s="49"/>
      <c r="E1318" s="49"/>
    </row>
    <row r="1319" spans="1:5">
      <c r="A1319" s="49"/>
      <c r="B1319" s="49"/>
      <c r="C1319" s="49"/>
      <c r="D1319" s="49"/>
      <c r="E1319" s="49"/>
    </row>
    <row r="1320" spans="1:5">
      <c r="A1320" s="49"/>
      <c r="B1320" s="49"/>
      <c r="C1320" s="49"/>
      <c r="D1320" s="49"/>
      <c r="E1320" s="49"/>
    </row>
    <row r="1321" spans="1:5">
      <c r="A1321" s="49"/>
      <c r="B1321" s="49"/>
      <c r="C1321" s="49"/>
      <c r="D1321" s="49"/>
      <c r="E1321" s="49"/>
    </row>
    <row r="1322" spans="1:5">
      <c r="A1322" s="49"/>
      <c r="B1322" s="49"/>
      <c r="C1322" s="49"/>
      <c r="D1322" s="49"/>
      <c r="E1322" s="49"/>
    </row>
    <row r="1323" spans="1:5">
      <c r="A1323" s="49"/>
      <c r="B1323" s="49"/>
      <c r="C1323" s="49"/>
      <c r="D1323" s="49"/>
      <c r="E1323" s="49"/>
    </row>
    <row r="1324" spans="1:5">
      <c r="A1324" s="49"/>
      <c r="B1324" s="49"/>
      <c r="C1324" s="49"/>
      <c r="D1324" s="49"/>
      <c r="E1324" s="49"/>
    </row>
    <row r="1325" spans="1:5">
      <c r="A1325" s="49"/>
      <c r="B1325" s="49"/>
      <c r="C1325" s="49"/>
      <c r="D1325" s="49"/>
      <c r="E1325" s="49"/>
    </row>
    <row r="1326" spans="1:5">
      <c r="A1326" s="49"/>
      <c r="B1326" s="49"/>
      <c r="C1326" s="49"/>
      <c r="D1326" s="49"/>
      <c r="E1326" s="49"/>
    </row>
    <row r="1327" spans="1:5">
      <c r="A1327" s="49"/>
      <c r="B1327" s="49"/>
      <c r="C1327" s="49"/>
      <c r="D1327" s="49"/>
      <c r="E1327" s="49"/>
    </row>
    <row r="1328" spans="1:5">
      <c r="A1328" s="49"/>
      <c r="B1328" s="49"/>
      <c r="C1328" s="49"/>
      <c r="D1328" s="49"/>
      <c r="E1328" s="49"/>
    </row>
    <row r="1329" spans="1:5">
      <c r="A1329" s="49"/>
      <c r="B1329" s="49"/>
      <c r="C1329" s="49"/>
      <c r="D1329" s="49"/>
      <c r="E1329" s="49"/>
    </row>
    <row r="1330" spans="1:5">
      <c r="A1330" s="49"/>
      <c r="B1330" s="49"/>
      <c r="C1330" s="49"/>
      <c r="D1330" s="49"/>
      <c r="E1330" s="49"/>
    </row>
    <row r="1331" spans="1:5">
      <c r="A1331" s="49"/>
      <c r="B1331" s="49"/>
      <c r="C1331" s="49"/>
      <c r="D1331" s="49"/>
      <c r="E1331" s="49"/>
    </row>
    <row r="1332" spans="1:5">
      <c r="A1332" s="49"/>
      <c r="B1332" s="49"/>
      <c r="C1332" s="49"/>
      <c r="D1332" s="49"/>
      <c r="E1332" s="49"/>
    </row>
    <row r="1333" spans="1:5">
      <c r="A1333" s="49"/>
      <c r="B1333" s="49"/>
      <c r="C1333" s="49"/>
      <c r="D1333" s="49"/>
      <c r="E1333" s="49"/>
    </row>
    <row r="1334" spans="1:5">
      <c r="A1334" s="49"/>
      <c r="B1334" s="49"/>
      <c r="C1334" s="49"/>
      <c r="D1334" s="49"/>
      <c r="E1334" s="49"/>
    </row>
    <row r="1335" spans="1:5">
      <c r="A1335" s="49"/>
      <c r="B1335" s="49"/>
      <c r="C1335" s="49"/>
      <c r="D1335" s="49"/>
      <c r="E1335" s="49"/>
    </row>
    <row r="1336" spans="1:5">
      <c r="A1336" s="49"/>
      <c r="B1336" s="49"/>
      <c r="C1336" s="49"/>
      <c r="D1336" s="49"/>
      <c r="E1336" s="49"/>
    </row>
    <row r="1337" spans="1:5">
      <c r="A1337" s="49"/>
      <c r="B1337" s="49"/>
      <c r="C1337" s="49"/>
      <c r="D1337" s="49"/>
      <c r="E1337" s="49"/>
    </row>
    <row r="1338" spans="1:5">
      <c r="A1338" s="49"/>
      <c r="B1338" s="49"/>
      <c r="C1338" s="49"/>
      <c r="D1338" s="49"/>
      <c r="E1338" s="49"/>
    </row>
    <row r="1339" spans="1:5">
      <c r="A1339" s="49"/>
      <c r="B1339" s="49"/>
      <c r="C1339" s="49"/>
      <c r="D1339" s="49"/>
      <c r="E1339" s="49"/>
    </row>
    <row r="1340" spans="1:5">
      <c r="A1340" s="49"/>
      <c r="B1340" s="49"/>
      <c r="C1340" s="49"/>
      <c r="D1340" s="49"/>
      <c r="E1340" s="49"/>
    </row>
    <row r="1341" spans="1:5">
      <c r="A1341" s="49"/>
      <c r="B1341" s="49"/>
      <c r="C1341" s="49"/>
      <c r="D1341" s="49"/>
      <c r="E1341" s="49"/>
    </row>
    <row r="1342" spans="1:5">
      <c r="A1342" s="49"/>
      <c r="B1342" s="49"/>
      <c r="C1342" s="49"/>
      <c r="D1342" s="49"/>
      <c r="E1342" s="49"/>
    </row>
    <row r="1343" spans="1:5">
      <c r="A1343" s="49"/>
      <c r="B1343" s="49"/>
      <c r="C1343" s="49"/>
      <c r="D1343" s="49"/>
      <c r="E1343" s="49"/>
    </row>
    <row r="1344" spans="1:5">
      <c r="A1344" s="49"/>
      <c r="B1344" s="49"/>
      <c r="C1344" s="49"/>
      <c r="D1344" s="49"/>
      <c r="E1344" s="49"/>
    </row>
    <row r="1345" spans="1:5">
      <c r="A1345" s="49"/>
      <c r="B1345" s="49"/>
      <c r="C1345" s="49"/>
      <c r="D1345" s="49"/>
      <c r="E1345" s="49"/>
    </row>
    <row r="1346" spans="1:5">
      <c r="A1346" s="49"/>
      <c r="B1346" s="49"/>
      <c r="C1346" s="49"/>
      <c r="D1346" s="49"/>
      <c r="E1346" s="49"/>
    </row>
    <row r="1347" spans="1:5">
      <c r="A1347" s="49"/>
      <c r="B1347" s="49"/>
      <c r="C1347" s="49"/>
      <c r="D1347" s="49"/>
      <c r="E1347" s="49"/>
    </row>
    <row r="1348" spans="1:5">
      <c r="A1348" s="49"/>
      <c r="B1348" s="49"/>
      <c r="C1348" s="49"/>
      <c r="D1348" s="49"/>
      <c r="E1348" s="49"/>
    </row>
    <row r="1349" spans="1:5">
      <c r="A1349" s="49"/>
      <c r="B1349" s="49"/>
      <c r="C1349" s="49"/>
      <c r="D1349" s="49"/>
      <c r="E1349" s="49"/>
    </row>
    <row r="1350" spans="1:5">
      <c r="A1350" s="49"/>
      <c r="B1350" s="49"/>
      <c r="C1350" s="49"/>
      <c r="D1350" s="49"/>
      <c r="E1350" s="49"/>
    </row>
    <row r="1351" spans="1:5">
      <c r="A1351" s="49"/>
      <c r="B1351" s="49"/>
      <c r="C1351" s="49"/>
      <c r="D1351" s="49"/>
      <c r="E1351" s="49"/>
    </row>
    <row r="1352" spans="1:5">
      <c r="A1352" s="49"/>
      <c r="B1352" s="49"/>
      <c r="C1352" s="49"/>
      <c r="D1352" s="49"/>
      <c r="E1352" s="49"/>
    </row>
    <row r="1353" spans="1:5">
      <c r="A1353" s="49"/>
      <c r="B1353" s="49"/>
      <c r="C1353" s="49"/>
      <c r="D1353" s="49"/>
      <c r="E1353" s="49"/>
    </row>
    <row r="1354" spans="1:5">
      <c r="A1354" s="49"/>
      <c r="B1354" s="49"/>
      <c r="C1354" s="49"/>
      <c r="D1354" s="49"/>
      <c r="E1354" s="49"/>
    </row>
    <row r="1355" spans="1:5">
      <c r="A1355" s="49"/>
      <c r="B1355" s="49"/>
      <c r="C1355" s="49"/>
      <c r="D1355" s="49"/>
      <c r="E1355" s="49"/>
    </row>
    <row r="1356" spans="1:5">
      <c r="A1356" s="49"/>
      <c r="B1356" s="49"/>
      <c r="C1356" s="49"/>
      <c r="D1356" s="49"/>
      <c r="E1356" s="49"/>
    </row>
    <row r="1357" spans="1:5">
      <c r="A1357" s="49"/>
      <c r="B1357" s="49"/>
      <c r="C1357" s="49"/>
      <c r="D1357" s="49"/>
      <c r="E1357" s="49"/>
    </row>
    <row r="1358" spans="1:5">
      <c r="A1358" s="49"/>
      <c r="B1358" s="49"/>
      <c r="C1358" s="49"/>
      <c r="D1358" s="49"/>
      <c r="E1358" s="49"/>
    </row>
    <row r="1359" spans="1:5">
      <c r="A1359" s="49"/>
      <c r="B1359" s="49"/>
      <c r="C1359" s="49"/>
      <c r="D1359" s="49"/>
      <c r="E1359" s="49"/>
    </row>
    <row r="1360" spans="1:5">
      <c r="A1360" s="49"/>
      <c r="B1360" s="49"/>
      <c r="C1360" s="49"/>
      <c r="D1360" s="49"/>
      <c r="E1360" s="49"/>
    </row>
    <row r="1361" spans="1:5">
      <c r="A1361" s="49"/>
      <c r="B1361" s="49"/>
      <c r="C1361" s="49"/>
      <c r="D1361" s="49"/>
      <c r="E1361" s="49"/>
    </row>
    <row r="1362" spans="1:5">
      <c r="A1362" s="49"/>
      <c r="B1362" s="49"/>
      <c r="C1362" s="49"/>
      <c r="D1362" s="49"/>
      <c r="E1362" s="49"/>
    </row>
    <row r="1363" spans="1:5">
      <c r="A1363" s="49"/>
      <c r="B1363" s="49"/>
      <c r="C1363" s="49"/>
      <c r="D1363" s="49"/>
      <c r="E1363" s="49"/>
    </row>
    <row r="1364" spans="1:5">
      <c r="A1364" s="49"/>
      <c r="B1364" s="49"/>
      <c r="C1364" s="49"/>
      <c r="D1364" s="49"/>
      <c r="E1364" s="49"/>
    </row>
    <row r="1365" spans="1:5">
      <c r="A1365" s="49"/>
      <c r="B1365" s="49"/>
      <c r="C1365" s="49"/>
      <c r="D1365" s="49"/>
      <c r="E1365" s="49"/>
    </row>
    <row r="1366" spans="1:5">
      <c r="A1366" s="49"/>
      <c r="B1366" s="49"/>
      <c r="C1366" s="49"/>
      <c r="D1366" s="49"/>
      <c r="E1366" s="49"/>
    </row>
    <row r="1367" spans="1:5">
      <c r="A1367" s="49"/>
      <c r="B1367" s="49"/>
      <c r="C1367" s="49"/>
      <c r="D1367" s="49"/>
      <c r="E1367" s="49"/>
    </row>
    <row r="1368" spans="1:5">
      <c r="A1368" s="49"/>
      <c r="B1368" s="49"/>
      <c r="C1368" s="49"/>
      <c r="D1368" s="49"/>
      <c r="E1368" s="49"/>
    </row>
    <row r="1369" spans="1:5">
      <c r="A1369" s="49"/>
      <c r="B1369" s="49"/>
      <c r="C1369" s="49"/>
      <c r="D1369" s="49"/>
      <c r="E1369" s="49"/>
    </row>
    <row r="1370" spans="1:5">
      <c r="A1370" s="49"/>
      <c r="B1370" s="49"/>
      <c r="C1370" s="49"/>
      <c r="D1370" s="49"/>
      <c r="E1370" s="49"/>
    </row>
    <row r="1371" spans="1:5">
      <c r="A1371" s="49"/>
      <c r="B1371" s="49"/>
      <c r="C1371" s="49"/>
      <c r="D1371" s="49"/>
      <c r="E1371" s="49"/>
    </row>
    <row r="1372" spans="1:5">
      <c r="A1372" s="49"/>
      <c r="B1372" s="49"/>
      <c r="C1372" s="49"/>
      <c r="D1372" s="49"/>
      <c r="E1372" s="49"/>
    </row>
    <row r="1373" spans="1:5">
      <c r="A1373" s="49"/>
      <c r="B1373" s="49"/>
      <c r="C1373" s="49"/>
      <c r="D1373" s="49"/>
      <c r="E1373" s="49"/>
    </row>
    <row r="1374" spans="1:5">
      <c r="A1374" s="49"/>
      <c r="B1374" s="49"/>
      <c r="C1374" s="49"/>
      <c r="D1374" s="49"/>
      <c r="E1374" s="49"/>
    </row>
    <row r="1375" spans="1:5">
      <c r="A1375" s="49"/>
      <c r="B1375" s="49"/>
      <c r="C1375" s="49"/>
      <c r="D1375" s="49"/>
      <c r="E1375" s="49"/>
    </row>
    <row r="1376" spans="1:5">
      <c r="A1376" s="49"/>
      <c r="B1376" s="49"/>
      <c r="C1376" s="49"/>
      <c r="D1376" s="49"/>
      <c r="E1376" s="49"/>
    </row>
    <row r="1377" spans="1:5">
      <c r="A1377" s="49"/>
      <c r="B1377" s="49"/>
      <c r="C1377" s="49"/>
      <c r="D1377" s="49"/>
      <c r="E1377" s="49"/>
    </row>
    <row r="1378" spans="1:5">
      <c r="A1378" s="49"/>
      <c r="B1378" s="49"/>
      <c r="C1378" s="49"/>
      <c r="D1378" s="49"/>
      <c r="E1378" s="49"/>
    </row>
    <row r="1379" spans="1:5">
      <c r="A1379" s="49"/>
      <c r="B1379" s="49"/>
      <c r="C1379" s="49"/>
      <c r="D1379" s="49"/>
      <c r="E1379" s="49"/>
    </row>
    <row r="1380" spans="1:5">
      <c r="A1380" s="49"/>
      <c r="B1380" s="49"/>
      <c r="C1380" s="49"/>
      <c r="D1380" s="49"/>
      <c r="E1380" s="49"/>
    </row>
    <row r="1381" spans="1:5">
      <c r="A1381" s="49"/>
      <c r="B1381" s="49"/>
      <c r="C1381" s="49"/>
      <c r="D1381" s="49"/>
      <c r="E1381" s="49"/>
    </row>
    <row r="1382" spans="1:5">
      <c r="A1382" s="49"/>
      <c r="B1382" s="49"/>
      <c r="C1382" s="49"/>
      <c r="D1382" s="49"/>
      <c r="E1382" s="49"/>
    </row>
    <row r="1383" spans="1:5">
      <c r="A1383" s="49"/>
      <c r="B1383" s="49"/>
      <c r="C1383" s="49"/>
      <c r="D1383" s="49"/>
      <c r="E1383" s="49"/>
    </row>
    <row r="1384" spans="1:5">
      <c r="A1384" s="49"/>
      <c r="B1384" s="49"/>
      <c r="C1384" s="49"/>
      <c r="D1384" s="49"/>
      <c r="E1384" s="49"/>
    </row>
    <row r="1385" spans="1:5">
      <c r="A1385" s="49"/>
      <c r="B1385" s="49"/>
      <c r="C1385" s="49"/>
      <c r="D1385" s="49"/>
      <c r="E1385" s="49"/>
    </row>
    <row r="1386" spans="1:5">
      <c r="A1386" s="49"/>
      <c r="B1386" s="49"/>
      <c r="C1386" s="49"/>
      <c r="D1386" s="49"/>
      <c r="E1386" s="49"/>
    </row>
    <row r="1387" spans="1:5">
      <c r="A1387" s="49"/>
      <c r="B1387" s="49"/>
      <c r="C1387" s="49"/>
      <c r="D1387" s="49"/>
      <c r="E1387" s="49"/>
    </row>
    <row r="1388" spans="1:5">
      <c r="A1388" s="49"/>
      <c r="B1388" s="49"/>
      <c r="C1388" s="49"/>
      <c r="D1388" s="49"/>
      <c r="E1388" s="49"/>
    </row>
    <row r="1389" spans="1:5">
      <c r="A1389" s="49"/>
      <c r="B1389" s="49"/>
      <c r="C1389" s="49"/>
      <c r="D1389" s="49"/>
      <c r="E1389" s="49"/>
    </row>
    <row r="1390" spans="1:5">
      <c r="A1390" s="49"/>
      <c r="B1390" s="49"/>
      <c r="C1390" s="49"/>
      <c r="D1390" s="49"/>
      <c r="E1390" s="49"/>
    </row>
    <row r="1391" spans="1:5">
      <c r="A1391" s="49"/>
      <c r="B1391" s="49"/>
      <c r="C1391" s="49"/>
      <c r="D1391" s="49"/>
      <c r="E1391" s="49"/>
    </row>
    <row r="1392" spans="1:5">
      <c r="A1392" s="49"/>
      <c r="B1392" s="49"/>
      <c r="C1392" s="49"/>
      <c r="D1392" s="49"/>
      <c r="E1392" s="49"/>
    </row>
    <row r="1393" spans="1:5">
      <c r="A1393" s="49"/>
      <c r="B1393" s="49"/>
      <c r="C1393" s="49"/>
      <c r="D1393" s="49"/>
      <c r="E1393" s="49"/>
    </row>
    <row r="1394" spans="1:5">
      <c r="A1394" s="49"/>
      <c r="B1394" s="49"/>
      <c r="C1394" s="49"/>
      <c r="D1394" s="49"/>
      <c r="E1394" s="49"/>
    </row>
    <row r="1395" spans="1:5">
      <c r="A1395" s="49"/>
      <c r="B1395" s="49"/>
      <c r="C1395" s="49"/>
      <c r="D1395" s="49"/>
      <c r="E1395" s="49"/>
    </row>
    <row r="1396" spans="1:5">
      <c r="A1396" s="49"/>
      <c r="B1396" s="49"/>
      <c r="C1396" s="49"/>
      <c r="D1396" s="49"/>
      <c r="E1396" s="49"/>
    </row>
    <row r="1397" spans="1:5">
      <c r="A1397" s="49"/>
      <c r="B1397" s="49"/>
      <c r="C1397" s="49"/>
      <c r="D1397" s="49"/>
      <c r="E1397" s="49"/>
    </row>
    <row r="1398" spans="1:5">
      <c r="A1398" s="49"/>
      <c r="B1398" s="49"/>
      <c r="C1398" s="49"/>
      <c r="D1398" s="49"/>
      <c r="E1398" s="49"/>
    </row>
    <row r="1399" spans="1:5">
      <c r="A1399" s="49"/>
      <c r="B1399" s="49"/>
      <c r="C1399" s="49"/>
      <c r="D1399" s="49"/>
      <c r="E1399" s="49"/>
    </row>
    <row r="1400" spans="1:5">
      <c r="A1400" s="49"/>
      <c r="B1400" s="49"/>
      <c r="C1400" s="49"/>
      <c r="D1400" s="49"/>
      <c r="E1400" s="49"/>
    </row>
    <row r="1401" spans="1:5">
      <c r="A1401" s="49"/>
      <c r="B1401" s="49"/>
      <c r="C1401" s="49"/>
      <c r="D1401" s="49"/>
      <c r="E1401" s="49"/>
    </row>
    <row r="1402" spans="1:5">
      <c r="A1402" s="49"/>
      <c r="B1402" s="49"/>
      <c r="C1402" s="49"/>
      <c r="D1402" s="49"/>
      <c r="E1402" s="49"/>
    </row>
    <row r="1403" spans="1:5">
      <c r="A1403" s="49"/>
      <c r="B1403" s="49"/>
      <c r="C1403" s="49"/>
      <c r="D1403" s="49"/>
      <c r="E1403" s="49"/>
    </row>
    <row r="1404" spans="1:5">
      <c r="A1404" s="49"/>
      <c r="B1404" s="49"/>
      <c r="C1404" s="49"/>
      <c r="D1404" s="49"/>
      <c r="E1404" s="49"/>
    </row>
    <row r="1405" spans="1:5">
      <c r="A1405" s="49"/>
      <c r="B1405" s="49"/>
      <c r="C1405" s="49"/>
      <c r="D1405" s="49"/>
      <c r="E1405" s="49"/>
    </row>
    <row r="1406" spans="1:5">
      <c r="A1406" s="49"/>
      <c r="B1406" s="49"/>
      <c r="C1406" s="49"/>
      <c r="D1406" s="49"/>
      <c r="E1406" s="49"/>
    </row>
    <row r="1407" spans="1:5">
      <c r="A1407" s="49"/>
      <c r="B1407" s="49"/>
      <c r="C1407" s="49"/>
      <c r="D1407" s="49"/>
      <c r="E1407" s="49"/>
    </row>
    <row r="1408" spans="1:5">
      <c r="A1408" s="49"/>
      <c r="B1408" s="49"/>
      <c r="C1408" s="49"/>
      <c r="D1408" s="49"/>
      <c r="E1408" s="49"/>
    </row>
    <row r="1409" spans="1:5">
      <c r="A1409" s="49"/>
      <c r="B1409" s="49"/>
      <c r="C1409" s="49"/>
      <c r="D1409" s="49"/>
      <c r="E1409" s="49"/>
    </row>
    <row r="1410" spans="1:5">
      <c r="A1410" s="49"/>
      <c r="B1410" s="49"/>
      <c r="C1410" s="49"/>
      <c r="D1410" s="49"/>
      <c r="E1410" s="49"/>
    </row>
    <row r="1411" spans="1:5">
      <c r="A1411" s="49"/>
      <c r="B1411" s="49"/>
      <c r="C1411" s="49"/>
      <c r="D1411" s="49"/>
      <c r="E1411" s="49"/>
    </row>
    <row r="1412" spans="1:5">
      <c r="A1412" s="49"/>
      <c r="B1412" s="49"/>
      <c r="C1412" s="49"/>
      <c r="D1412" s="49"/>
      <c r="E1412" s="49"/>
    </row>
    <row r="1413" spans="1:5">
      <c r="A1413" s="49"/>
      <c r="B1413" s="49"/>
      <c r="C1413" s="49"/>
      <c r="D1413" s="49"/>
      <c r="E1413" s="49"/>
    </row>
    <row r="1414" spans="1:5">
      <c r="A1414" s="49"/>
      <c r="B1414" s="49"/>
      <c r="C1414" s="49"/>
      <c r="D1414" s="49"/>
      <c r="E1414" s="49"/>
    </row>
    <row r="1415" spans="1:5">
      <c r="A1415" s="49"/>
      <c r="B1415" s="49"/>
      <c r="C1415" s="49"/>
      <c r="D1415" s="49"/>
      <c r="E1415" s="49"/>
    </row>
    <row r="1416" spans="1:5">
      <c r="A1416" s="49"/>
      <c r="B1416" s="49"/>
      <c r="C1416" s="49"/>
      <c r="D1416" s="49"/>
      <c r="E1416" s="49"/>
    </row>
    <row r="1417" spans="1:5">
      <c r="A1417" s="49"/>
      <c r="B1417" s="49"/>
      <c r="C1417" s="49"/>
      <c r="D1417" s="49"/>
      <c r="E1417" s="49"/>
    </row>
    <row r="1418" spans="1:5">
      <c r="A1418" s="49"/>
      <c r="B1418" s="49"/>
      <c r="C1418" s="49"/>
      <c r="D1418" s="49"/>
      <c r="E1418" s="49"/>
    </row>
    <row r="1419" spans="1:5">
      <c r="A1419" s="49"/>
      <c r="B1419" s="49"/>
      <c r="C1419" s="49"/>
      <c r="D1419" s="49"/>
      <c r="E1419" s="49"/>
    </row>
    <row r="1420" spans="1:5">
      <c r="A1420" s="49"/>
      <c r="B1420" s="49"/>
      <c r="C1420" s="49"/>
      <c r="D1420" s="49"/>
      <c r="E1420" s="49"/>
    </row>
    <row r="1421" spans="1:5">
      <c r="A1421" s="49"/>
      <c r="B1421" s="49"/>
      <c r="C1421" s="49"/>
      <c r="D1421" s="49"/>
      <c r="E1421" s="49"/>
    </row>
    <row r="1422" spans="1:5">
      <c r="A1422" s="49"/>
      <c r="B1422" s="49"/>
      <c r="C1422" s="49"/>
      <c r="D1422" s="49"/>
      <c r="E1422" s="49"/>
    </row>
    <row r="1423" spans="1:5">
      <c r="A1423" s="49"/>
      <c r="B1423" s="49"/>
      <c r="C1423" s="49"/>
      <c r="D1423" s="49"/>
      <c r="E1423" s="49"/>
    </row>
    <row r="1424" spans="1:5">
      <c r="A1424" s="49"/>
      <c r="B1424" s="49"/>
      <c r="C1424" s="49"/>
      <c r="D1424" s="49"/>
      <c r="E1424" s="49"/>
    </row>
    <row r="1425" spans="1:5">
      <c r="A1425" s="49"/>
      <c r="B1425" s="49"/>
      <c r="C1425" s="49"/>
      <c r="D1425" s="49"/>
      <c r="E1425" s="49"/>
    </row>
    <row r="1426" spans="1:5">
      <c r="A1426" s="49"/>
      <c r="B1426" s="49"/>
      <c r="C1426" s="49"/>
      <c r="D1426" s="49"/>
      <c r="E1426" s="49"/>
    </row>
    <row r="1427" spans="1:5">
      <c r="A1427" s="49"/>
      <c r="B1427" s="49"/>
      <c r="C1427" s="49"/>
      <c r="D1427" s="49"/>
      <c r="E1427" s="49"/>
    </row>
    <row r="1428" spans="1:5">
      <c r="A1428" s="49"/>
      <c r="B1428" s="49"/>
      <c r="C1428" s="49"/>
      <c r="D1428" s="49"/>
      <c r="E1428" s="49"/>
    </row>
    <row r="1429" spans="1:5">
      <c r="A1429" s="49"/>
      <c r="B1429" s="49"/>
      <c r="C1429" s="49"/>
      <c r="D1429" s="49"/>
      <c r="E1429" s="49"/>
    </row>
    <row r="1430" spans="1:5">
      <c r="A1430" s="49"/>
      <c r="B1430" s="49"/>
      <c r="C1430" s="49"/>
      <c r="D1430" s="49"/>
      <c r="E1430" s="49"/>
    </row>
    <row r="1431" spans="1:5">
      <c r="A1431" s="49"/>
      <c r="B1431" s="49"/>
      <c r="C1431" s="49"/>
      <c r="D1431" s="49"/>
      <c r="E1431" s="49"/>
    </row>
    <row r="1432" spans="1:5">
      <c r="A1432" s="49"/>
      <c r="B1432" s="49"/>
      <c r="C1432" s="49"/>
      <c r="D1432" s="49"/>
      <c r="E1432" s="49"/>
    </row>
    <row r="1433" spans="1:5">
      <c r="A1433" s="49"/>
      <c r="B1433" s="49"/>
      <c r="C1433" s="49"/>
      <c r="D1433" s="49"/>
      <c r="E1433" s="49"/>
    </row>
    <row r="1434" spans="1:5">
      <c r="A1434" s="49"/>
      <c r="B1434" s="49"/>
      <c r="C1434" s="49"/>
      <c r="D1434" s="49"/>
      <c r="E1434" s="49"/>
    </row>
    <row r="1435" spans="1:5">
      <c r="A1435" s="49"/>
      <c r="B1435" s="49"/>
      <c r="C1435" s="49"/>
      <c r="D1435" s="49"/>
      <c r="E1435" s="49"/>
    </row>
    <row r="1436" spans="1:5">
      <c r="A1436" s="49"/>
      <c r="B1436" s="49"/>
      <c r="C1436" s="49"/>
      <c r="D1436" s="49"/>
      <c r="E1436" s="49"/>
    </row>
    <row r="1437" spans="1:5">
      <c r="A1437" s="49"/>
      <c r="B1437" s="49"/>
      <c r="C1437" s="49"/>
      <c r="D1437" s="49"/>
      <c r="E1437" s="49"/>
    </row>
    <row r="1438" spans="1:5">
      <c r="A1438" s="49"/>
      <c r="B1438" s="49"/>
      <c r="C1438" s="49"/>
      <c r="D1438" s="49"/>
      <c r="E1438" s="49"/>
    </row>
    <row r="1439" spans="1:5">
      <c r="A1439" s="49"/>
      <c r="B1439" s="49"/>
      <c r="C1439" s="49"/>
      <c r="D1439" s="49"/>
      <c r="E1439" s="49"/>
    </row>
    <row r="1440" spans="1:5">
      <c r="A1440" s="49"/>
      <c r="B1440" s="49"/>
      <c r="C1440" s="49"/>
      <c r="D1440" s="49"/>
      <c r="E1440" s="49"/>
    </row>
    <row r="1441" spans="1:5">
      <c r="A1441" s="49"/>
      <c r="B1441" s="49"/>
      <c r="C1441" s="49"/>
      <c r="D1441" s="49"/>
      <c r="E1441" s="49"/>
    </row>
    <row r="1442" spans="1:5">
      <c r="A1442" s="49"/>
      <c r="B1442" s="49"/>
      <c r="C1442" s="49"/>
      <c r="D1442" s="49"/>
      <c r="E1442" s="49"/>
    </row>
    <row r="1443" spans="1:5">
      <c r="A1443" s="49"/>
      <c r="B1443" s="49"/>
      <c r="C1443" s="49"/>
      <c r="D1443" s="49"/>
      <c r="E1443" s="49"/>
    </row>
    <row r="1444" spans="1:5">
      <c r="A1444" s="49"/>
      <c r="B1444" s="49"/>
      <c r="C1444" s="49"/>
      <c r="D1444" s="49"/>
      <c r="E1444" s="49"/>
    </row>
    <row r="1445" spans="1:5">
      <c r="A1445" s="49"/>
      <c r="B1445" s="49"/>
      <c r="C1445" s="49"/>
      <c r="D1445" s="49"/>
      <c r="E1445" s="49"/>
    </row>
    <row r="1446" spans="1:5">
      <c r="A1446" s="49"/>
      <c r="B1446" s="49"/>
      <c r="C1446" s="49"/>
      <c r="D1446" s="49"/>
      <c r="E1446" s="49"/>
    </row>
    <row r="1447" spans="1:5">
      <c r="A1447" s="49"/>
      <c r="B1447" s="49"/>
      <c r="C1447" s="49"/>
      <c r="D1447" s="49"/>
      <c r="E1447" s="49"/>
    </row>
    <row r="1448" spans="1:5">
      <c r="A1448" s="49"/>
      <c r="B1448" s="49"/>
      <c r="C1448" s="49"/>
      <c r="D1448" s="49"/>
      <c r="E1448" s="49"/>
    </row>
    <row r="1449" spans="1:5">
      <c r="A1449" s="49"/>
      <c r="B1449" s="49"/>
      <c r="C1449" s="49"/>
      <c r="D1449" s="49"/>
      <c r="E1449" s="49"/>
    </row>
    <row r="1450" spans="1:5">
      <c r="A1450" s="49"/>
      <c r="B1450" s="49"/>
      <c r="C1450" s="49"/>
      <c r="D1450" s="49"/>
      <c r="E1450" s="49"/>
    </row>
    <row r="1451" spans="1:5">
      <c r="A1451" s="49"/>
      <c r="B1451" s="49"/>
      <c r="C1451" s="49"/>
      <c r="D1451" s="49"/>
      <c r="E1451" s="49"/>
    </row>
    <row r="1452" spans="1:5">
      <c r="A1452" s="49"/>
      <c r="B1452" s="49"/>
      <c r="C1452" s="49"/>
      <c r="D1452" s="49"/>
      <c r="E1452" s="49"/>
    </row>
    <row r="1453" spans="1:5">
      <c r="A1453" s="49"/>
      <c r="B1453" s="49"/>
      <c r="C1453" s="49"/>
      <c r="D1453" s="49"/>
      <c r="E1453" s="49"/>
    </row>
    <row r="1454" spans="1:5">
      <c r="A1454" s="49"/>
      <c r="B1454" s="49"/>
      <c r="C1454" s="49"/>
      <c r="D1454" s="49"/>
      <c r="E1454" s="49"/>
    </row>
    <row r="1455" spans="1:5">
      <c r="A1455" s="49"/>
      <c r="B1455" s="49"/>
      <c r="C1455" s="49"/>
      <c r="D1455" s="49"/>
      <c r="E1455" s="49"/>
    </row>
    <row r="1456" spans="1:5">
      <c r="A1456" s="49"/>
      <c r="B1456" s="49"/>
      <c r="C1456" s="49"/>
      <c r="D1456" s="49"/>
      <c r="E1456" s="49"/>
    </row>
    <row r="1457" spans="1:5">
      <c r="A1457" s="49"/>
      <c r="B1457" s="49"/>
      <c r="C1457" s="49"/>
      <c r="D1457" s="49"/>
      <c r="E1457" s="49"/>
    </row>
    <row r="1458" spans="1:5">
      <c r="A1458" s="49"/>
      <c r="B1458" s="49"/>
      <c r="C1458" s="49"/>
      <c r="D1458" s="49"/>
      <c r="E1458" s="49"/>
    </row>
    <row r="1459" spans="1:5">
      <c r="A1459" s="49"/>
      <c r="B1459" s="49"/>
      <c r="C1459" s="49"/>
      <c r="D1459" s="49"/>
      <c r="E1459" s="49"/>
    </row>
    <row r="1460" spans="1:5">
      <c r="A1460" s="49"/>
      <c r="B1460" s="49"/>
      <c r="C1460" s="49"/>
      <c r="D1460" s="49"/>
      <c r="E1460" s="49"/>
    </row>
    <row r="1461" spans="1:5">
      <c r="A1461" s="49"/>
      <c r="B1461" s="49"/>
      <c r="C1461" s="49"/>
      <c r="D1461" s="49"/>
      <c r="E1461" s="49"/>
    </row>
    <row r="1462" spans="1:5">
      <c r="A1462" s="49"/>
      <c r="B1462" s="49"/>
      <c r="C1462" s="49"/>
      <c r="D1462" s="49"/>
      <c r="E1462" s="49"/>
    </row>
    <row r="1463" spans="1:5">
      <c r="A1463" s="49"/>
      <c r="B1463" s="49"/>
      <c r="C1463" s="49"/>
      <c r="D1463" s="49"/>
      <c r="E1463" s="49"/>
    </row>
    <row r="1464" spans="1:5">
      <c r="A1464" s="49"/>
      <c r="B1464" s="49"/>
      <c r="C1464" s="49"/>
      <c r="D1464" s="49"/>
      <c r="E1464" s="49"/>
    </row>
    <row r="1465" spans="1:5">
      <c r="A1465" s="49"/>
      <c r="B1465" s="49"/>
      <c r="C1465" s="49"/>
      <c r="D1465" s="49"/>
      <c r="E1465" s="49"/>
    </row>
    <row r="1466" spans="1:5">
      <c r="A1466" s="49"/>
      <c r="B1466" s="49"/>
      <c r="C1466" s="49"/>
      <c r="D1466" s="49"/>
      <c r="E1466" s="49"/>
    </row>
    <row r="1467" spans="1:5">
      <c r="A1467" s="49"/>
      <c r="B1467" s="49"/>
      <c r="C1467" s="49"/>
      <c r="D1467" s="49"/>
      <c r="E1467" s="49"/>
    </row>
    <row r="1468" spans="1:5">
      <c r="A1468" s="49"/>
      <c r="B1468" s="49"/>
      <c r="C1468" s="49"/>
      <c r="D1468" s="49"/>
      <c r="E1468" s="49"/>
    </row>
    <row r="1469" spans="1:5">
      <c r="A1469" s="49"/>
      <c r="B1469" s="49"/>
      <c r="C1469" s="49"/>
      <c r="D1469" s="49"/>
      <c r="E1469" s="49"/>
    </row>
    <row r="1470" spans="1:5">
      <c r="A1470" s="49"/>
      <c r="B1470" s="49"/>
      <c r="C1470" s="49"/>
      <c r="D1470" s="49"/>
      <c r="E1470" s="49"/>
    </row>
    <row r="1471" spans="1:5">
      <c r="A1471" s="49"/>
      <c r="B1471" s="49"/>
      <c r="C1471" s="49"/>
      <c r="D1471" s="49"/>
      <c r="E1471" s="49"/>
    </row>
    <row r="1472" spans="1:5">
      <c r="A1472" s="49"/>
      <c r="B1472" s="49"/>
      <c r="C1472" s="49"/>
      <c r="D1472" s="49"/>
      <c r="E1472" s="49"/>
    </row>
    <row r="1473" spans="1:5">
      <c r="A1473" s="49"/>
      <c r="B1473" s="49"/>
      <c r="C1473" s="49"/>
      <c r="D1473" s="49"/>
      <c r="E1473" s="49"/>
    </row>
    <row r="1474" spans="1:5">
      <c r="A1474" s="49"/>
      <c r="B1474" s="49"/>
      <c r="C1474" s="49"/>
      <c r="D1474" s="49"/>
      <c r="E1474" s="49"/>
    </row>
    <row r="1475" spans="1:5">
      <c r="A1475" s="49"/>
      <c r="B1475" s="49"/>
      <c r="C1475" s="49"/>
      <c r="D1475" s="49"/>
      <c r="E1475" s="49"/>
    </row>
    <row r="1476" spans="1:5">
      <c r="A1476" s="49"/>
      <c r="B1476" s="49"/>
      <c r="C1476" s="49"/>
      <c r="D1476" s="49"/>
      <c r="E1476" s="49"/>
    </row>
    <row r="1477" spans="1:5">
      <c r="A1477" s="49"/>
      <c r="B1477" s="49"/>
      <c r="C1477" s="49"/>
      <c r="D1477" s="49"/>
      <c r="E1477" s="49"/>
    </row>
    <row r="1478" spans="1:5">
      <c r="A1478" s="49"/>
      <c r="B1478" s="49"/>
      <c r="C1478" s="49"/>
      <c r="D1478" s="49"/>
      <c r="E1478" s="49"/>
    </row>
    <row r="1479" spans="1:5">
      <c r="A1479" s="49"/>
      <c r="B1479" s="49"/>
      <c r="C1479" s="49"/>
      <c r="D1479" s="49"/>
      <c r="E1479" s="49"/>
    </row>
    <row r="1480" spans="1:5">
      <c r="A1480" s="49"/>
      <c r="B1480" s="49"/>
      <c r="C1480" s="49"/>
      <c r="D1480" s="49"/>
      <c r="E1480" s="49"/>
    </row>
    <row r="1481" spans="1:5">
      <c r="A1481" s="49"/>
      <c r="B1481" s="49"/>
      <c r="C1481" s="49"/>
      <c r="D1481" s="49"/>
      <c r="E1481" s="49"/>
    </row>
    <row r="1482" spans="1:5">
      <c r="A1482" s="49"/>
      <c r="B1482" s="49"/>
      <c r="C1482" s="49"/>
      <c r="D1482" s="49"/>
      <c r="E1482" s="49"/>
    </row>
    <row r="1483" spans="1:5">
      <c r="A1483" s="49"/>
      <c r="B1483" s="49"/>
      <c r="C1483" s="49"/>
      <c r="D1483" s="49"/>
      <c r="E1483" s="49"/>
    </row>
    <row r="1484" spans="1:5">
      <c r="A1484" s="49"/>
      <c r="B1484" s="49"/>
      <c r="C1484" s="49"/>
      <c r="D1484" s="49"/>
      <c r="E1484" s="49"/>
    </row>
    <row r="1485" spans="1:5">
      <c r="A1485" s="49"/>
      <c r="B1485" s="49"/>
      <c r="C1485" s="49"/>
      <c r="D1485" s="49"/>
      <c r="E1485" s="49"/>
    </row>
    <row r="1486" spans="1:5">
      <c r="A1486" s="49"/>
      <c r="B1486" s="49"/>
      <c r="C1486" s="49"/>
      <c r="D1486" s="49"/>
      <c r="E1486" s="49"/>
    </row>
    <row r="1487" spans="1:5">
      <c r="A1487" s="49"/>
      <c r="B1487" s="49"/>
      <c r="C1487" s="49"/>
      <c r="D1487" s="49"/>
      <c r="E1487" s="49"/>
    </row>
    <row r="1488" spans="1:5">
      <c r="A1488" s="49"/>
      <c r="B1488" s="49"/>
      <c r="C1488" s="49"/>
      <c r="D1488" s="49"/>
      <c r="E1488" s="49"/>
    </row>
    <row r="1489" spans="1:5">
      <c r="A1489" s="49"/>
      <c r="B1489" s="49"/>
      <c r="C1489" s="49"/>
      <c r="D1489" s="49"/>
      <c r="E1489" s="49"/>
    </row>
    <row r="1490" spans="1:5">
      <c r="A1490" s="49"/>
      <c r="B1490" s="49"/>
      <c r="C1490" s="49"/>
      <c r="D1490" s="49"/>
      <c r="E1490" s="49"/>
    </row>
    <row r="1491" spans="1:5">
      <c r="A1491" s="49"/>
      <c r="B1491" s="49"/>
      <c r="C1491" s="49"/>
      <c r="D1491" s="49"/>
      <c r="E1491" s="49"/>
    </row>
    <row r="1492" spans="1:5">
      <c r="A1492" s="49"/>
      <c r="B1492" s="49"/>
      <c r="C1492" s="49"/>
      <c r="D1492" s="49"/>
      <c r="E1492" s="49"/>
    </row>
    <row r="1493" spans="1:5">
      <c r="A1493" s="49"/>
      <c r="B1493" s="49"/>
      <c r="C1493" s="49"/>
      <c r="D1493" s="49"/>
      <c r="E1493" s="49"/>
    </row>
    <row r="1494" spans="1:5">
      <c r="A1494" s="49"/>
      <c r="B1494" s="49"/>
      <c r="C1494" s="49"/>
      <c r="D1494" s="49"/>
      <c r="E1494" s="49"/>
    </row>
    <row r="1495" spans="1:5">
      <c r="A1495" s="49"/>
      <c r="B1495" s="49"/>
      <c r="C1495" s="49"/>
      <c r="D1495" s="49"/>
      <c r="E1495" s="49"/>
    </row>
    <row r="1496" spans="1:5">
      <c r="A1496" s="49"/>
      <c r="B1496" s="49"/>
      <c r="C1496" s="49"/>
      <c r="D1496" s="49"/>
      <c r="E1496" s="49"/>
    </row>
    <row r="1497" spans="1:5">
      <c r="A1497" s="49"/>
      <c r="B1497" s="49"/>
      <c r="C1497" s="49"/>
      <c r="D1497" s="49"/>
      <c r="E1497" s="49"/>
    </row>
    <row r="1498" spans="1:5">
      <c r="A1498" s="49"/>
      <c r="B1498" s="49"/>
      <c r="C1498" s="49"/>
      <c r="D1498" s="49"/>
      <c r="E1498" s="49"/>
    </row>
    <row r="1499" spans="1:5">
      <c r="A1499" s="49"/>
      <c r="B1499" s="49"/>
      <c r="C1499" s="49"/>
      <c r="D1499" s="49"/>
      <c r="E1499" s="49"/>
    </row>
    <row r="1500" spans="1:5">
      <c r="A1500" s="49"/>
      <c r="B1500" s="49"/>
      <c r="C1500" s="49"/>
      <c r="D1500" s="49"/>
      <c r="E1500" s="49"/>
    </row>
    <row r="1501" spans="1:5">
      <c r="A1501" s="49"/>
      <c r="B1501" s="49"/>
      <c r="C1501" s="49"/>
      <c r="D1501" s="49"/>
      <c r="E1501" s="49"/>
    </row>
    <row r="1502" spans="1:5">
      <c r="A1502" s="49"/>
      <c r="B1502" s="49"/>
      <c r="C1502" s="49"/>
      <c r="D1502" s="49"/>
      <c r="E1502" s="49"/>
    </row>
    <row r="1503" spans="1:5">
      <c r="A1503" s="49"/>
      <c r="B1503" s="49"/>
      <c r="C1503" s="49"/>
      <c r="D1503" s="49"/>
      <c r="E1503" s="49"/>
    </row>
    <row r="1504" spans="1:5">
      <c r="A1504" s="49"/>
      <c r="B1504" s="49"/>
      <c r="C1504" s="49"/>
      <c r="D1504" s="49"/>
      <c r="E1504" s="49"/>
    </row>
    <row r="1505" spans="1:5">
      <c r="A1505" s="49"/>
      <c r="B1505" s="49"/>
      <c r="C1505" s="49"/>
      <c r="D1505" s="49"/>
      <c r="E1505" s="49"/>
    </row>
    <row r="1506" spans="1:5">
      <c r="A1506" s="49"/>
      <c r="B1506" s="49"/>
      <c r="C1506" s="49"/>
      <c r="D1506" s="49"/>
      <c r="E1506" s="49"/>
    </row>
    <row r="1507" spans="1:5">
      <c r="A1507" s="49"/>
      <c r="B1507" s="49"/>
      <c r="C1507" s="49"/>
      <c r="D1507" s="49"/>
      <c r="E1507" s="49"/>
    </row>
    <row r="1508" spans="1:5">
      <c r="A1508" s="49"/>
      <c r="B1508" s="49"/>
      <c r="C1508" s="49"/>
      <c r="D1508" s="49"/>
      <c r="E1508" s="49"/>
    </row>
    <row r="1509" spans="1:5">
      <c r="A1509" s="49"/>
      <c r="B1509" s="49"/>
      <c r="C1509" s="49"/>
      <c r="D1509" s="49"/>
      <c r="E1509" s="49"/>
    </row>
    <row r="1510" spans="1:5">
      <c r="A1510" s="49"/>
      <c r="B1510" s="49"/>
      <c r="C1510" s="49"/>
      <c r="D1510" s="49"/>
      <c r="E1510" s="49"/>
    </row>
    <row r="1511" spans="1:5">
      <c r="A1511" s="49"/>
      <c r="B1511" s="49"/>
      <c r="C1511" s="49"/>
      <c r="D1511" s="49"/>
      <c r="E1511" s="49"/>
    </row>
    <row r="1512" spans="1:5">
      <c r="A1512" s="49"/>
      <c r="B1512" s="49"/>
      <c r="C1512" s="49"/>
      <c r="D1512" s="49"/>
      <c r="E1512" s="49"/>
    </row>
    <row r="1513" spans="1:5">
      <c r="A1513" s="49"/>
      <c r="B1513" s="49"/>
      <c r="C1513" s="49"/>
      <c r="D1513" s="49"/>
      <c r="E1513" s="49"/>
    </row>
    <row r="1514" spans="1:5">
      <c r="A1514" s="49"/>
      <c r="B1514" s="49"/>
      <c r="C1514" s="49"/>
      <c r="D1514" s="49"/>
      <c r="E1514" s="49"/>
    </row>
    <row r="1515" spans="1:5">
      <c r="A1515" s="49"/>
      <c r="B1515" s="49"/>
      <c r="C1515" s="49"/>
      <c r="D1515" s="49"/>
      <c r="E1515" s="49"/>
    </row>
    <row r="1516" spans="1:5">
      <c r="A1516" s="49"/>
      <c r="B1516" s="49"/>
      <c r="C1516" s="49"/>
      <c r="D1516" s="49"/>
      <c r="E1516" s="49"/>
    </row>
    <row r="1517" spans="1:5">
      <c r="A1517" s="49"/>
      <c r="B1517" s="49"/>
      <c r="C1517" s="49"/>
      <c r="D1517" s="49"/>
      <c r="E1517" s="49"/>
    </row>
    <row r="1518" spans="1:5">
      <c r="A1518" s="49"/>
      <c r="B1518" s="49"/>
      <c r="C1518" s="49"/>
      <c r="D1518" s="49"/>
      <c r="E1518" s="49"/>
    </row>
    <row r="1519" spans="1:5">
      <c r="A1519" s="49"/>
      <c r="B1519" s="49"/>
      <c r="C1519" s="49"/>
      <c r="D1519" s="49"/>
      <c r="E1519" s="49"/>
    </row>
    <row r="1520" spans="1:5">
      <c r="A1520" s="49"/>
      <c r="B1520" s="49"/>
      <c r="C1520" s="49"/>
      <c r="D1520" s="49"/>
      <c r="E1520" s="49"/>
    </row>
    <row r="1521" spans="1:5">
      <c r="A1521" s="49"/>
      <c r="B1521" s="49"/>
      <c r="C1521" s="49"/>
      <c r="D1521" s="49"/>
      <c r="E1521" s="49"/>
    </row>
    <row r="1522" spans="1:5">
      <c r="A1522" s="49"/>
      <c r="B1522" s="49"/>
      <c r="C1522" s="49"/>
      <c r="D1522" s="49"/>
      <c r="E1522" s="49"/>
    </row>
    <row r="1523" spans="1:5">
      <c r="A1523" s="49"/>
      <c r="B1523" s="49"/>
      <c r="C1523" s="49"/>
      <c r="D1523" s="49"/>
      <c r="E1523" s="49"/>
    </row>
    <row r="1524" spans="1:5">
      <c r="A1524" s="49"/>
      <c r="B1524" s="49"/>
      <c r="C1524" s="49"/>
      <c r="D1524" s="49"/>
      <c r="E1524" s="49"/>
    </row>
    <row r="1525" spans="1:5">
      <c r="A1525" s="49"/>
      <c r="B1525" s="49"/>
      <c r="C1525" s="49"/>
      <c r="D1525" s="49"/>
      <c r="E1525" s="49"/>
    </row>
    <row r="1526" spans="1:5">
      <c r="A1526" s="49"/>
      <c r="B1526" s="49"/>
      <c r="C1526" s="49"/>
      <c r="D1526" s="49"/>
      <c r="E1526" s="49"/>
    </row>
    <row r="1527" spans="1:5">
      <c r="A1527" s="49"/>
      <c r="B1527" s="49"/>
      <c r="C1527" s="49"/>
      <c r="D1527" s="49"/>
      <c r="E1527" s="49"/>
    </row>
    <row r="1528" spans="1:5">
      <c r="A1528" s="49"/>
      <c r="B1528" s="49"/>
      <c r="C1528" s="49"/>
      <c r="D1528" s="49"/>
      <c r="E1528" s="49"/>
    </row>
    <row r="1529" spans="1:5">
      <c r="A1529" s="49"/>
      <c r="B1529" s="49"/>
      <c r="C1529" s="49"/>
      <c r="D1529" s="49"/>
      <c r="E1529" s="49"/>
    </row>
    <row r="1530" spans="1:5">
      <c r="A1530" s="49"/>
      <c r="B1530" s="49"/>
      <c r="C1530" s="49"/>
      <c r="D1530" s="49"/>
      <c r="E1530" s="49"/>
    </row>
    <row r="1531" spans="1:5">
      <c r="A1531" s="49"/>
      <c r="B1531" s="49"/>
      <c r="C1531" s="49"/>
      <c r="D1531" s="49"/>
      <c r="E1531" s="49"/>
    </row>
    <row r="1532" spans="1:5">
      <c r="A1532" s="49"/>
      <c r="B1532" s="49"/>
      <c r="C1532" s="49"/>
      <c r="D1532" s="49"/>
      <c r="E1532" s="49"/>
    </row>
    <row r="1533" spans="1:5">
      <c r="A1533" s="49"/>
      <c r="B1533" s="49"/>
      <c r="C1533" s="49"/>
      <c r="D1533" s="49"/>
      <c r="E1533" s="49"/>
    </row>
    <row r="1534" spans="1:5">
      <c r="A1534" s="49"/>
      <c r="B1534" s="49"/>
      <c r="C1534" s="49"/>
      <c r="D1534" s="49"/>
      <c r="E1534" s="49"/>
    </row>
    <row r="1535" spans="1:5">
      <c r="A1535" s="49"/>
      <c r="B1535" s="49"/>
      <c r="C1535" s="49"/>
      <c r="D1535" s="49"/>
      <c r="E1535" s="49"/>
    </row>
    <row r="1536" spans="1:5">
      <c r="A1536" s="49"/>
      <c r="B1536" s="49"/>
      <c r="C1536" s="49"/>
      <c r="D1536" s="49"/>
      <c r="E1536" s="49"/>
    </row>
    <row r="1537" spans="1:5">
      <c r="A1537" s="49"/>
      <c r="B1537" s="49"/>
      <c r="C1537" s="49"/>
      <c r="D1537" s="49"/>
      <c r="E1537" s="49"/>
    </row>
    <row r="1538" spans="1:5">
      <c r="A1538" s="49"/>
      <c r="B1538" s="49"/>
      <c r="C1538" s="49"/>
      <c r="D1538" s="49"/>
      <c r="E1538" s="49"/>
    </row>
    <row r="1539" spans="1:5">
      <c r="A1539" s="49"/>
      <c r="B1539" s="49"/>
      <c r="C1539" s="49"/>
      <c r="D1539" s="49"/>
      <c r="E1539" s="49"/>
    </row>
    <row r="1540" spans="1:5">
      <c r="A1540" s="49"/>
      <c r="B1540" s="49"/>
      <c r="C1540" s="49"/>
      <c r="D1540" s="49"/>
      <c r="E1540" s="49"/>
    </row>
    <row r="1541" spans="1:5">
      <c r="A1541" s="49"/>
      <c r="B1541" s="49"/>
      <c r="C1541" s="49"/>
      <c r="D1541" s="49"/>
      <c r="E1541" s="49"/>
    </row>
    <row r="1542" spans="1:5">
      <c r="A1542" s="49"/>
      <c r="B1542" s="49"/>
      <c r="C1542" s="49"/>
      <c r="D1542" s="49"/>
      <c r="E1542" s="49"/>
    </row>
    <row r="1543" spans="1:5">
      <c r="A1543" s="49"/>
      <c r="B1543" s="49"/>
      <c r="C1543" s="49"/>
      <c r="D1543" s="49"/>
      <c r="E1543" s="49"/>
    </row>
    <row r="1544" spans="1:5">
      <c r="A1544" s="49"/>
      <c r="B1544" s="49"/>
      <c r="C1544" s="49"/>
      <c r="D1544" s="49"/>
      <c r="E1544" s="49"/>
    </row>
    <row r="1545" spans="1:5">
      <c r="A1545" s="49"/>
      <c r="B1545" s="49"/>
      <c r="C1545" s="49"/>
      <c r="D1545" s="49"/>
      <c r="E1545" s="49"/>
    </row>
    <row r="1546" spans="1:5">
      <c r="A1546" s="49"/>
      <c r="B1546" s="49"/>
      <c r="C1546" s="49"/>
      <c r="D1546" s="49"/>
      <c r="E1546" s="49"/>
    </row>
    <row r="1547" spans="1:5">
      <c r="A1547" s="49"/>
      <c r="B1547" s="49"/>
      <c r="C1547" s="49"/>
      <c r="D1547" s="49"/>
      <c r="E1547" s="49"/>
    </row>
    <row r="1548" spans="1:5">
      <c r="A1548" s="49"/>
      <c r="B1548" s="49"/>
      <c r="C1548" s="49"/>
      <c r="D1548" s="49"/>
      <c r="E1548" s="49"/>
    </row>
    <row r="1549" spans="1:5">
      <c r="A1549" s="49"/>
      <c r="B1549" s="49"/>
      <c r="C1549" s="49"/>
      <c r="D1549" s="49"/>
      <c r="E1549" s="49"/>
    </row>
    <row r="1550" spans="1:5">
      <c r="A1550" s="49"/>
      <c r="B1550" s="49"/>
      <c r="C1550" s="49"/>
      <c r="D1550" s="49"/>
      <c r="E1550" s="49"/>
    </row>
    <row r="1551" spans="1:5">
      <c r="A1551" s="49"/>
      <c r="B1551" s="49"/>
      <c r="C1551" s="49"/>
      <c r="D1551" s="49"/>
      <c r="E1551" s="49"/>
    </row>
    <row r="1552" spans="1:5">
      <c r="A1552" s="49"/>
      <c r="B1552" s="49"/>
      <c r="C1552" s="49"/>
      <c r="D1552" s="49"/>
      <c r="E1552" s="49"/>
    </row>
    <row r="1553" spans="1:5">
      <c r="A1553" s="49"/>
      <c r="B1553" s="49"/>
      <c r="C1553" s="49"/>
      <c r="D1553" s="49"/>
      <c r="E1553" s="49"/>
    </row>
    <row r="1554" spans="1:5">
      <c r="A1554" s="49"/>
      <c r="B1554" s="49"/>
      <c r="C1554" s="49"/>
      <c r="D1554" s="49"/>
      <c r="E1554" s="49"/>
    </row>
    <row r="1555" spans="1:5">
      <c r="A1555" s="49"/>
      <c r="B1555" s="49"/>
      <c r="C1555" s="49"/>
      <c r="D1555" s="49"/>
      <c r="E1555" s="49"/>
    </row>
    <row r="1556" spans="1:5">
      <c r="A1556" s="49"/>
      <c r="B1556" s="49"/>
      <c r="C1556" s="49"/>
      <c r="D1556" s="49"/>
      <c r="E1556" s="49"/>
    </row>
    <row r="1557" spans="1:5">
      <c r="A1557" s="49"/>
      <c r="B1557" s="49"/>
      <c r="C1557" s="49"/>
      <c r="D1557" s="49"/>
      <c r="E1557" s="49"/>
    </row>
    <row r="1558" spans="1:5">
      <c r="A1558" s="49"/>
      <c r="B1558" s="49"/>
      <c r="C1558" s="49"/>
      <c r="D1558" s="49"/>
      <c r="E1558" s="49"/>
    </row>
    <row r="1559" spans="1:5">
      <c r="A1559" s="49"/>
      <c r="B1559" s="49"/>
      <c r="C1559" s="49"/>
      <c r="D1559" s="49"/>
      <c r="E1559" s="49"/>
    </row>
    <row r="1560" spans="1:5">
      <c r="A1560" s="49"/>
      <c r="B1560" s="49"/>
      <c r="C1560" s="49"/>
      <c r="D1560" s="49"/>
      <c r="E1560" s="49"/>
    </row>
    <row r="1561" spans="1:5">
      <c r="A1561" s="49"/>
      <c r="B1561" s="49"/>
      <c r="C1561" s="49"/>
      <c r="D1561" s="49"/>
      <c r="E1561" s="49"/>
    </row>
    <row r="1562" spans="1:5">
      <c r="A1562" s="49"/>
      <c r="B1562" s="49"/>
      <c r="C1562" s="49"/>
      <c r="D1562" s="49"/>
      <c r="E1562" s="49"/>
    </row>
    <row r="1563" spans="1:5">
      <c r="A1563" s="49"/>
      <c r="B1563" s="49"/>
      <c r="C1563" s="49"/>
      <c r="D1563" s="49"/>
      <c r="E1563" s="49"/>
    </row>
    <row r="1564" spans="1:5">
      <c r="A1564" s="49"/>
      <c r="B1564" s="49"/>
      <c r="C1564" s="49"/>
      <c r="D1564" s="49"/>
      <c r="E1564" s="49"/>
    </row>
    <row r="1565" spans="1:5">
      <c r="A1565" s="49"/>
      <c r="B1565" s="49"/>
      <c r="C1565" s="49"/>
      <c r="D1565" s="49"/>
      <c r="E1565" s="49"/>
    </row>
    <row r="1566" spans="1:5">
      <c r="A1566" s="49"/>
      <c r="B1566" s="49"/>
      <c r="C1566" s="49"/>
      <c r="D1566" s="49"/>
      <c r="E1566" s="49"/>
    </row>
    <row r="1567" spans="1:5">
      <c r="A1567" s="49"/>
      <c r="B1567" s="49"/>
      <c r="C1567" s="49"/>
      <c r="D1567" s="49"/>
      <c r="E1567" s="49"/>
    </row>
    <row r="1568" spans="1:5">
      <c r="A1568" s="49"/>
      <c r="B1568" s="49"/>
      <c r="C1568" s="49"/>
      <c r="D1568" s="49"/>
      <c r="E1568" s="49"/>
    </row>
    <row r="1569" spans="1:5">
      <c r="A1569" s="49"/>
      <c r="B1569" s="49"/>
      <c r="C1569" s="49"/>
      <c r="D1569" s="49"/>
      <c r="E1569" s="49"/>
    </row>
    <row r="1570" spans="1:5">
      <c r="A1570" s="49"/>
      <c r="B1570" s="49"/>
      <c r="C1570" s="49"/>
      <c r="D1570" s="49"/>
      <c r="E1570" s="49"/>
    </row>
    <row r="1571" spans="1:5">
      <c r="A1571" s="49"/>
      <c r="B1571" s="49"/>
      <c r="C1571" s="49"/>
      <c r="D1571" s="49"/>
      <c r="E1571" s="49"/>
    </row>
    <row r="1572" spans="1:5">
      <c r="A1572" s="49"/>
      <c r="B1572" s="49"/>
      <c r="C1572" s="49"/>
      <c r="D1572" s="49"/>
      <c r="E1572" s="49"/>
    </row>
    <row r="1573" spans="1:5">
      <c r="A1573" s="49"/>
      <c r="B1573" s="49"/>
      <c r="C1573" s="49"/>
      <c r="D1573" s="49"/>
      <c r="E1573" s="49"/>
    </row>
    <row r="1574" spans="1:5">
      <c r="A1574" s="49"/>
      <c r="B1574" s="49"/>
      <c r="C1574" s="49"/>
      <c r="D1574" s="49"/>
      <c r="E1574" s="49"/>
    </row>
    <row r="1575" spans="1:5">
      <c r="A1575" s="49"/>
      <c r="B1575" s="49"/>
      <c r="C1575" s="49"/>
      <c r="D1575" s="49"/>
      <c r="E1575" s="49"/>
    </row>
    <row r="1576" spans="1:5">
      <c r="A1576" s="49"/>
      <c r="B1576" s="49"/>
      <c r="C1576" s="49"/>
      <c r="D1576" s="49"/>
      <c r="E1576" s="49"/>
    </row>
    <row r="1577" spans="1:5">
      <c r="A1577" s="49"/>
      <c r="B1577" s="49"/>
      <c r="C1577" s="49"/>
      <c r="D1577" s="49"/>
      <c r="E1577" s="49"/>
    </row>
    <row r="1578" spans="1:5">
      <c r="A1578" s="49"/>
      <c r="B1578" s="49"/>
      <c r="C1578" s="49"/>
      <c r="D1578" s="49"/>
      <c r="E1578" s="49"/>
    </row>
    <row r="1579" spans="1:5">
      <c r="A1579" s="49"/>
      <c r="B1579" s="49"/>
      <c r="C1579" s="49"/>
      <c r="D1579" s="49"/>
      <c r="E1579" s="49"/>
    </row>
    <row r="1580" spans="1:5">
      <c r="A1580" s="49"/>
      <c r="B1580" s="49"/>
      <c r="C1580" s="49"/>
      <c r="D1580" s="49"/>
      <c r="E1580" s="49"/>
    </row>
    <row r="1581" spans="1:5">
      <c r="A1581" s="49"/>
      <c r="B1581" s="49"/>
      <c r="C1581" s="49"/>
      <c r="D1581" s="49"/>
      <c r="E1581" s="49"/>
    </row>
    <row r="1582" spans="1:5">
      <c r="A1582" s="49"/>
      <c r="B1582" s="49"/>
      <c r="C1582" s="49"/>
      <c r="D1582" s="49"/>
      <c r="E1582" s="49"/>
    </row>
    <row r="1583" spans="1:5">
      <c r="A1583" s="49"/>
      <c r="B1583" s="49"/>
      <c r="C1583" s="49"/>
      <c r="D1583" s="49"/>
      <c r="E1583" s="49"/>
    </row>
    <row r="1584" spans="1:5">
      <c r="A1584" s="49"/>
      <c r="B1584" s="49"/>
      <c r="C1584" s="49"/>
      <c r="D1584" s="49"/>
      <c r="E1584" s="49"/>
    </row>
    <row r="1585" spans="1:5">
      <c r="A1585" s="49"/>
      <c r="B1585" s="49"/>
      <c r="C1585" s="49"/>
      <c r="D1585" s="49"/>
      <c r="E1585" s="49"/>
    </row>
    <row r="1586" spans="1:5">
      <c r="A1586" s="49"/>
      <c r="B1586" s="49"/>
      <c r="C1586" s="49"/>
      <c r="D1586" s="49"/>
      <c r="E1586" s="49"/>
    </row>
    <row r="1587" spans="1:5">
      <c r="A1587" s="49"/>
      <c r="B1587" s="49"/>
      <c r="C1587" s="49"/>
      <c r="D1587" s="49"/>
      <c r="E1587" s="49"/>
    </row>
    <row r="1588" spans="1:5">
      <c r="A1588" s="49"/>
      <c r="B1588" s="49"/>
      <c r="C1588" s="49"/>
      <c r="D1588" s="49"/>
      <c r="E1588" s="49"/>
    </row>
    <row r="1589" spans="1:5">
      <c r="A1589" s="49"/>
      <c r="B1589" s="49"/>
      <c r="C1589" s="49"/>
      <c r="D1589" s="49"/>
      <c r="E1589" s="49"/>
    </row>
    <row r="1590" spans="1:5">
      <c r="A1590" s="49"/>
      <c r="B1590" s="49"/>
      <c r="C1590" s="49"/>
      <c r="D1590" s="49"/>
      <c r="E1590" s="49"/>
    </row>
    <row r="1591" spans="1:5">
      <c r="A1591" s="49"/>
      <c r="B1591" s="49"/>
      <c r="C1591" s="49"/>
      <c r="D1591" s="49"/>
      <c r="E1591" s="49"/>
    </row>
    <row r="1592" spans="1:5">
      <c r="A1592" s="49"/>
      <c r="B1592" s="49"/>
      <c r="C1592" s="49"/>
      <c r="D1592" s="49"/>
      <c r="E1592" s="49"/>
    </row>
    <row r="1593" spans="1:5">
      <c r="A1593" s="49"/>
      <c r="B1593" s="49"/>
      <c r="C1593" s="49"/>
      <c r="D1593" s="49"/>
      <c r="E1593" s="49"/>
    </row>
    <row r="1594" spans="1:5">
      <c r="A1594" s="49"/>
      <c r="B1594" s="49"/>
      <c r="C1594" s="49"/>
      <c r="D1594" s="49"/>
      <c r="E1594" s="49"/>
    </row>
    <row r="1595" spans="1:5">
      <c r="A1595" s="49"/>
      <c r="B1595" s="49"/>
      <c r="C1595" s="49"/>
      <c r="D1595" s="49"/>
      <c r="E1595" s="49"/>
    </row>
    <row r="1596" spans="1:5">
      <c r="A1596" s="49"/>
      <c r="B1596" s="49"/>
      <c r="C1596" s="49"/>
      <c r="D1596" s="49"/>
      <c r="E1596" s="49"/>
    </row>
    <row r="1597" spans="1:5">
      <c r="A1597" s="49"/>
      <c r="B1597" s="49"/>
      <c r="C1597" s="49"/>
      <c r="D1597" s="49"/>
      <c r="E1597" s="49"/>
    </row>
    <row r="1598" spans="1:5">
      <c r="A1598" s="49"/>
      <c r="B1598" s="49"/>
      <c r="C1598" s="49"/>
      <c r="D1598" s="49"/>
      <c r="E1598" s="49"/>
    </row>
    <row r="1599" spans="1:5">
      <c r="A1599" s="49"/>
      <c r="B1599" s="49"/>
      <c r="C1599" s="49"/>
      <c r="D1599" s="49"/>
      <c r="E1599" s="49"/>
    </row>
    <row r="1600" spans="1:5">
      <c r="A1600" s="49"/>
      <c r="B1600" s="49"/>
      <c r="C1600" s="49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  <row r="1606" spans="1:5">
      <c r="A1606" s="49"/>
      <c r="B1606" s="49"/>
      <c r="C1606" s="49"/>
      <c r="D1606" s="49"/>
      <c r="E1606" s="49"/>
    </row>
    <row r="1607" spans="1:5">
      <c r="A1607" s="49"/>
      <c r="B1607" s="49"/>
      <c r="C1607" s="49"/>
      <c r="D1607" s="49"/>
      <c r="E1607" s="49"/>
    </row>
    <row r="1608" spans="1:5">
      <c r="A1608" s="49"/>
      <c r="B1608" s="49"/>
      <c r="C1608" s="49"/>
      <c r="D1608" s="49"/>
      <c r="E1608" s="49"/>
    </row>
    <row r="1609" spans="1:5">
      <c r="A1609" s="49"/>
      <c r="B1609" s="49"/>
      <c r="C1609" s="49"/>
      <c r="D1609" s="49"/>
      <c r="E1609" s="49"/>
    </row>
    <row r="1610" spans="1:5">
      <c r="A1610" s="49"/>
      <c r="B1610" s="49"/>
      <c r="C1610" s="49"/>
      <c r="D1610" s="49"/>
      <c r="E1610" s="49"/>
    </row>
    <row r="1611" spans="1:5">
      <c r="A1611" s="49"/>
      <c r="B1611" s="49"/>
      <c r="C1611" s="49"/>
      <c r="D1611" s="49"/>
      <c r="E1611" s="49"/>
    </row>
    <row r="1612" spans="1:5">
      <c r="A1612" s="49"/>
      <c r="B1612" s="49"/>
      <c r="C1612" s="49"/>
      <c r="D1612" s="49"/>
      <c r="E1612" s="49"/>
    </row>
    <row r="1613" spans="1:5">
      <c r="A1613" s="49"/>
      <c r="B1613" s="49"/>
      <c r="C1613" s="49"/>
      <c r="D1613" s="49"/>
      <c r="E1613" s="49"/>
    </row>
    <row r="1614" spans="1:5">
      <c r="A1614" s="49"/>
      <c r="B1614" s="49"/>
      <c r="C1614" s="49"/>
      <c r="D1614" s="49"/>
      <c r="E1614" s="49"/>
    </row>
    <row r="1615" spans="1:5">
      <c r="A1615" s="49"/>
      <c r="B1615" s="49"/>
      <c r="C1615" s="49"/>
      <c r="D1615" s="49"/>
      <c r="E1615" s="49"/>
    </row>
    <row r="1616" spans="1:5">
      <c r="A1616" s="49"/>
      <c r="B1616" s="49"/>
      <c r="C1616" s="49"/>
      <c r="D1616" s="49"/>
      <c r="E1616" s="49"/>
    </row>
    <row r="1617" spans="1:5">
      <c r="A1617" s="49"/>
      <c r="B1617" s="49"/>
      <c r="C1617" s="49"/>
      <c r="D1617" s="49"/>
      <c r="E1617" s="49"/>
    </row>
    <row r="1618" spans="1:5">
      <c r="A1618" s="49"/>
      <c r="B1618" s="49"/>
      <c r="C1618" s="49"/>
      <c r="D1618" s="49"/>
      <c r="E1618" s="49"/>
    </row>
    <row r="1619" spans="1:5">
      <c r="A1619" s="49"/>
      <c r="B1619" s="49"/>
      <c r="C1619" s="49"/>
      <c r="D1619" s="49"/>
      <c r="E1619" s="49"/>
    </row>
    <row r="1620" spans="1:5">
      <c r="A1620" s="49"/>
      <c r="B1620" s="49"/>
      <c r="C1620" s="49"/>
      <c r="D1620" s="49"/>
      <c r="E1620" s="49"/>
    </row>
    <row r="1621" spans="1:5">
      <c r="A1621" s="49"/>
      <c r="B1621" s="49"/>
      <c r="C1621" s="49"/>
      <c r="D1621" s="49"/>
      <c r="E1621" s="49"/>
    </row>
    <row r="1622" spans="1:5">
      <c r="A1622" s="49"/>
      <c r="B1622" s="49"/>
      <c r="C1622" s="49"/>
      <c r="D1622" s="49"/>
      <c r="E1622" s="49"/>
    </row>
    <row r="1623" spans="1:5">
      <c r="A1623" s="49"/>
      <c r="B1623" s="49"/>
      <c r="C1623" s="49"/>
      <c r="D1623" s="49"/>
      <c r="E1623" s="49"/>
    </row>
    <row r="1624" spans="1:5">
      <c r="A1624" s="49"/>
      <c r="B1624" s="49"/>
      <c r="C1624" s="49"/>
      <c r="D1624" s="49"/>
      <c r="E1624" s="49"/>
    </row>
    <row r="1625" spans="1:5">
      <c r="A1625" s="49"/>
      <c r="B1625" s="49"/>
      <c r="C1625" s="49"/>
      <c r="D1625" s="49"/>
      <c r="E1625" s="49"/>
    </row>
    <row r="1626" spans="1:5">
      <c r="A1626" s="49"/>
      <c r="B1626" s="49"/>
      <c r="C1626" s="49"/>
      <c r="D1626" s="49"/>
      <c r="E1626" s="49"/>
    </row>
    <row r="1627" spans="1:5">
      <c r="A1627" s="49"/>
      <c r="B1627" s="49"/>
      <c r="C1627" s="49"/>
      <c r="D1627" s="49"/>
      <c r="E1627" s="49"/>
    </row>
    <row r="1628" spans="1:5">
      <c r="A1628" s="49"/>
      <c r="B1628" s="49"/>
      <c r="C1628" s="49"/>
      <c r="D1628" s="49"/>
      <c r="E1628" s="49"/>
    </row>
    <row r="1629" spans="1:5">
      <c r="A1629" s="49"/>
      <c r="B1629" s="49"/>
      <c r="C1629" s="49"/>
      <c r="D1629" s="49"/>
      <c r="E1629" s="49"/>
    </row>
    <row r="1630" spans="1:5">
      <c r="A1630" s="49"/>
      <c r="B1630" s="49"/>
      <c r="C1630" s="49"/>
      <c r="D1630" s="49"/>
      <c r="E1630" s="49"/>
    </row>
    <row r="1631" spans="1:5">
      <c r="A1631" s="49"/>
      <c r="B1631" s="49"/>
      <c r="C1631" s="49"/>
      <c r="D1631" s="49"/>
      <c r="E1631" s="49"/>
    </row>
    <row r="1632" spans="1:5">
      <c r="A1632" s="49"/>
      <c r="B1632" s="49"/>
      <c r="C1632" s="49"/>
      <c r="D1632" s="49"/>
      <c r="E1632" s="49"/>
    </row>
    <row r="1633" spans="1:5">
      <c r="A1633" s="49"/>
      <c r="B1633" s="49"/>
      <c r="C1633" s="49"/>
      <c r="D1633" s="49"/>
      <c r="E1633" s="49"/>
    </row>
    <row r="1634" spans="1:5">
      <c r="A1634" s="49"/>
      <c r="B1634" s="49"/>
      <c r="C1634" s="49"/>
      <c r="D1634" s="49"/>
      <c r="E1634" s="49"/>
    </row>
    <row r="1635" spans="1:5">
      <c r="A1635" s="49"/>
      <c r="B1635" s="49"/>
      <c r="C1635" s="49"/>
      <c r="D1635" s="49"/>
      <c r="E1635" s="49"/>
    </row>
    <row r="1636" spans="1:5">
      <c r="A1636" s="49"/>
      <c r="B1636" s="49"/>
      <c r="C1636" s="49"/>
      <c r="D1636" s="49"/>
      <c r="E1636" s="49"/>
    </row>
    <row r="1637" spans="1:5">
      <c r="A1637" s="49"/>
      <c r="B1637" s="49"/>
      <c r="C1637" s="49"/>
      <c r="D1637" s="49"/>
      <c r="E1637" s="49"/>
    </row>
    <row r="1638" spans="1:5">
      <c r="A1638" s="49"/>
      <c r="B1638" s="49"/>
      <c r="C1638" s="49"/>
      <c r="D1638" s="49"/>
      <c r="E1638" s="49"/>
    </row>
    <row r="1639" spans="1:5">
      <c r="A1639" s="49"/>
      <c r="B1639" s="49"/>
      <c r="C1639" s="49"/>
      <c r="D1639" s="49"/>
      <c r="E1639" s="49"/>
    </row>
    <row r="1640" spans="1:5">
      <c r="A1640" s="49"/>
      <c r="B1640" s="49"/>
      <c r="C1640" s="49"/>
      <c r="D1640" s="49"/>
      <c r="E1640" s="49"/>
    </row>
    <row r="1641" spans="1:5">
      <c r="A1641" s="49"/>
      <c r="B1641" s="49"/>
      <c r="C1641" s="49"/>
      <c r="D1641" s="49"/>
      <c r="E1641" s="49"/>
    </row>
    <row r="1642" spans="1:5">
      <c r="A1642" s="49"/>
      <c r="B1642" s="49"/>
      <c r="C1642" s="49"/>
      <c r="D1642" s="49"/>
      <c r="E1642" s="49"/>
    </row>
    <row r="1643" spans="1:5">
      <c r="A1643" s="49"/>
      <c r="B1643" s="49"/>
      <c r="C1643" s="49"/>
      <c r="D1643" s="49"/>
      <c r="E1643" s="49"/>
    </row>
    <row r="1644" spans="1:5">
      <c r="A1644" s="49"/>
      <c r="B1644" s="49"/>
      <c r="C1644" s="49"/>
      <c r="D1644" s="49"/>
      <c r="E1644" s="49"/>
    </row>
    <row r="1645" spans="1:5">
      <c r="A1645" s="49"/>
      <c r="B1645" s="49"/>
      <c r="C1645" s="49"/>
      <c r="D1645" s="49"/>
      <c r="E1645" s="49"/>
    </row>
    <row r="1646" spans="1:5">
      <c r="A1646" s="49"/>
      <c r="B1646" s="49"/>
      <c r="C1646" s="49"/>
      <c r="D1646" s="49"/>
      <c r="E1646" s="49"/>
    </row>
    <row r="1647" spans="1:5">
      <c r="A1647" s="49"/>
      <c r="B1647" s="49"/>
      <c r="C1647" s="49"/>
      <c r="D1647" s="49"/>
      <c r="E1647" s="49"/>
    </row>
    <row r="1648" spans="1:5">
      <c r="A1648" s="49"/>
      <c r="B1648" s="49"/>
      <c r="C1648" s="49"/>
      <c r="D1648" s="49"/>
      <c r="E1648" s="49"/>
    </row>
    <row r="1649" spans="1:5">
      <c r="A1649" s="49"/>
      <c r="B1649" s="49"/>
      <c r="C1649" s="49"/>
      <c r="D1649" s="49"/>
      <c r="E1649" s="49"/>
    </row>
    <row r="1650" spans="1:5">
      <c r="A1650" s="49"/>
      <c r="B1650" s="49"/>
      <c r="C1650" s="49"/>
      <c r="D1650" s="49"/>
      <c r="E1650" s="49"/>
    </row>
    <row r="1651" spans="1:5">
      <c r="A1651" s="49"/>
      <c r="B1651" s="49"/>
      <c r="C1651" s="49"/>
      <c r="D1651" s="49"/>
      <c r="E1651" s="49"/>
    </row>
    <row r="1652" spans="1:5">
      <c r="A1652" s="49"/>
      <c r="B1652" s="49"/>
      <c r="C1652" s="49"/>
      <c r="D1652" s="49"/>
      <c r="E1652" s="49"/>
    </row>
    <row r="1653" spans="1:5">
      <c r="A1653" s="49"/>
      <c r="B1653" s="49"/>
      <c r="C1653" s="49"/>
      <c r="D1653" s="49"/>
      <c r="E1653" s="49"/>
    </row>
    <row r="1654" spans="1:5">
      <c r="A1654" s="49"/>
      <c r="B1654" s="49"/>
      <c r="C1654" s="49"/>
      <c r="D1654" s="49"/>
      <c r="E1654" s="49"/>
    </row>
    <row r="1655" spans="1:5">
      <c r="A1655" s="49"/>
      <c r="B1655" s="49"/>
      <c r="C1655" s="49"/>
      <c r="D1655" s="49"/>
      <c r="E1655" s="49"/>
    </row>
    <row r="1656" spans="1:5">
      <c r="A1656" s="49"/>
      <c r="B1656" s="49"/>
      <c r="C1656" s="49"/>
      <c r="D1656" s="49"/>
      <c r="E1656" s="49"/>
    </row>
    <row r="1657" spans="1:5">
      <c r="A1657" s="49"/>
      <c r="B1657" s="49"/>
      <c r="C1657" s="49"/>
      <c r="D1657" s="49"/>
      <c r="E1657" s="49"/>
    </row>
    <row r="1658" spans="1:5">
      <c r="A1658" s="49"/>
      <c r="B1658" s="49"/>
      <c r="C1658" s="49"/>
      <c r="D1658" s="49"/>
      <c r="E1658" s="49"/>
    </row>
    <row r="1659" spans="1:5">
      <c r="A1659" s="49"/>
      <c r="B1659" s="49"/>
      <c r="C1659" s="49"/>
      <c r="D1659" s="49"/>
      <c r="E1659" s="49"/>
    </row>
    <row r="1660" spans="1:5">
      <c r="A1660" s="49"/>
      <c r="B1660" s="49"/>
      <c r="C1660" s="49"/>
      <c r="D1660" s="49"/>
      <c r="E1660" s="49"/>
    </row>
    <row r="1661" spans="1:5">
      <c r="A1661" s="49"/>
      <c r="B1661" s="49"/>
      <c r="C1661" s="49"/>
      <c r="D1661" s="49"/>
      <c r="E1661" s="49"/>
    </row>
    <row r="1662" spans="1:5">
      <c r="A1662" s="49"/>
      <c r="B1662" s="49"/>
      <c r="C1662" s="49"/>
      <c r="D1662" s="49"/>
      <c r="E1662" s="49"/>
    </row>
    <row r="1663" spans="1:5">
      <c r="A1663" s="49"/>
      <c r="B1663" s="49"/>
      <c r="C1663" s="49"/>
      <c r="D1663" s="49"/>
      <c r="E1663" s="49"/>
    </row>
    <row r="1664" spans="1:5">
      <c r="A1664" s="49"/>
      <c r="B1664" s="49"/>
      <c r="C1664" s="49"/>
      <c r="D1664" s="49"/>
      <c r="E1664" s="49"/>
    </row>
    <row r="1665" spans="1:5">
      <c r="A1665" s="49"/>
      <c r="B1665" s="49"/>
      <c r="C1665" s="49"/>
      <c r="D1665" s="49"/>
      <c r="E1665" s="49"/>
    </row>
    <row r="1666" spans="1:5">
      <c r="A1666" s="49"/>
      <c r="B1666" s="49"/>
      <c r="C1666" s="49"/>
      <c r="D1666" s="49"/>
      <c r="E1666" s="49"/>
    </row>
    <row r="1667" spans="1:5">
      <c r="A1667" s="49"/>
      <c r="B1667" s="49"/>
      <c r="C1667" s="49"/>
      <c r="D1667" s="49"/>
      <c r="E1667" s="49"/>
    </row>
    <row r="1668" spans="1:5">
      <c r="A1668" s="49"/>
      <c r="B1668" s="49"/>
      <c r="C1668" s="49"/>
      <c r="D1668" s="49"/>
      <c r="E1668" s="49"/>
    </row>
    <row r="1669" spans="1:5">
      <c r="A1669" s="49"/>
      <c r="B1669" s="49"/>
      <c r="C1669" s="49"/>
      <c r="D1669" s="49"/>
      <c r="E1669" s="49"/>
    </row>
    <row r="1670" spans="1:5">
      <c r="A1670" s="49"/>
      <c r="B1670" s="49"/>
      <c r="C1670" s="49"/>
      <c r="D1670" s="49"/>
      <c r="E1670" s="49"/>
    </row>
    <row r="1671" spans="1:5">
      <c r="A1671" s="49"/>
      <c r="B1671" s="49"/>
      <c r="C1671" s="49"/>
      <c r="D1671" s="49"/>
      <c r="E1671" s="49"/>
    </row>
    <row r="1672" spans="1:5">
      <c r="A1672" s="49"/>
      <c r="B1672" s="49"/>
      <c r="C1672" s="49"/>
      <c r="D1672" s="49"/>
      <c r="E1672" s="49"/>
    </row>
    <row r="1673" spans="1:5">
      <c r="A1673" s="49"/>
      <c r="B1673" s="49"/>
      <c r="C1673" s="49"/>
      <c r="D1673" s="49"/>
      <c r="E1673" s="49"/>
    </row>
    <row r="1674" spans="1:5">
      <c r="A1674" s="49"/>
      <c r="B1674" s="49"/>
      <c r="C1674" s="49"/>
      <c r="D1674" s="49"/>
      <c r="E1674" s="49"/>
    </row>
    <row r="1675" spans="1:5">
      <c r="A1675" s="49"/>
      <c r="B1675" s="49"/>
      <c r="C1675" s="49"/>
      <c r="D1675" s="49"/>
      <c r="E1675" s="49"/>
    </row>
    <row r="1676" spans="1:5">
      <c r="A1676" s="49"/>
      <c r="B1676" s="49"/>
      <c r="C1676" s="49"/>
      <c r="D1676" s="49"/>
      <c r="E1676" s="49"/>
    </row>
    <row r="1677" spans="1:5">
      <c r="A1677" s="49"/>
      <c r="B1677" s="49"/>
      <c r="C1677" s="49"/>
      <c r="D1677" s="49"/>
      <c r="E1677" s="49"/>
    </row>
    <row r="1678" spans="1:5">
      <c r="A1678" s="49"/>
      <c r="B1678" s="49"/>
      <c r="C1678" s="49"/>
      <c r="D1678" s="49"/>
      <c r="E1678" s="49"/>
    </row>
    <row r="1679" spans="1:5">
      <c r="A1679" s="49"/>
      <c r="B1679" s="49"/>
      <c r="C1679" s="49"/>
      <c r="D1679" s="49"/>
      <c r="E1679" s="49"/>
    </row>
    <row r="1680" spans="1:5">
      <c r="A1680" s="49"/>
      <c r="B1680" s="49"/>
      <c r="C1680" s="49"/>
      <c r="D1680" s="49"/>
      <c r="E1680" s="49"/>
    </row>
    <row r="1681" spans="1:5">
      <c r="A1681" s="49"/>
      <c r="B1681" s="49"/>
      <c r="C1681" s="49"/>
      <c r="D1681" s="49"/>
      <c r="E1681" s="49"/>
    </row>
    <row r="1682" spans="1:5">
      <c r="A1682" s="49"/>
      <c r="B1682" s="49"/>
      <c r="C1682" s="49"/>
      <c r="D1682" s="49"/>
      <c r="E1682" s="49"/>
    </row>
    <row r="1683" spans="1:5">
      <c r="A1683" s="49"/>
      <c r="B1683" s="49"/>
      <c r="C1683" s="49"/>
      <c r="D1683" s="49"/>
      <c r="E1683" s="49"/>
    </row>
    <row r="1684" spans="1:5">
      <c r="A1684" s="49"/>
      <c r="B1684" s="49"/>
      <c r="C1684" s="49"/>
      <c r="D1684" s="49"/>
      <c r="E1684" s="49"/>
    </row>
    <row r="1685" spans="1:5">
      <c r="A1685" s="49"/>
      <c r="B1685" s="49"/>
      <c r="C1685" s="49"/>
      <c r="D1685" s="49"/>
      <c r="E1685" s="49"/>
    </row>
    <row r="1686" spans="1:5">
      <c r="A1686" s="49"/>
      <c r="B1686" s="49"/>
      <c r="C1686" s="49"/>
      <c r="D1686" s="49"/>
      <c r="E1686" s="49"/>
    </row>
    <row r="1687" spans="1:5">
      <c r="A1687" s="49"/>
      <c r="B1687" s="49"/>
      <c r="C1687" s="49"/>
      <c r="D1687" s="49"/>
      <c r="E1687" s="49"/>
    </row>
    <row r="1688" spans="1:5">
      <c r="A1688" s="49"/>
      <c r="B1688" s="49"/>
      <c r="C1688" s="49"/>
      <c r="D1688" s="49"/>
      <c r="E1688" s="49"/>
    </row>
    <row r="1689" spans="1:5">
      <c r="A1689" s="49"/>
      <c r="B1689" s="49"/>
      <c r="C1689" s="49"/>
      <c r="D1689" s="49"/>
      <c r="E1689" s="49"/>
    </row>
    <row r="1690" spans="1:5">
      <c r="A1690" s="49"/>
      <c r="B1690" s="49"/>
      <c r="C1690" s="49"/>
      <c r="D1690" s="49"/>
      <c r="E1690" s="49"/>
    </row>
    <row r="1691" spans="1:5">
      <c r="A1691" s="49"/>
      <c r="B1691" s="49"/>
      <c r="C1691" s="49"/>
      <c r="D1691" s="49"/>
      <c r="E1691" s="49"/>
    </row>
    <row r="1692" spans="1:5">
      <c r="A1692" s="49"/>
      <c r="B1692" s="49"/>
      <c r="C1692" s="49"/>
      <c r="D1692" s="49"/>
      <c r="E1692" s="49"/>
    </row>
    <row r="1693" spans="1:5">
      <c r="A1693" s="49"/>
      <c r="B1693" s="49"/>
      <c r="C1693" s="49"/>
      <c r="D1693" s="49"/>
      <c r="E1693" s="49"/>
    </row>
    <row r="1694" spans="1:5">
      <c r="A1694" s="49"/>
      <c r="B1694" s="49"/>
      <c r="C1694" s="49"/>
      <c r="D1694" s="49"/>
      <c r="E1694" s="49"/>
    </row>
    <row r="1695" spans="1:5">
      <c r="A1695" s="49"/>
      <c r="B1695" s="49"/>
      <c r="C1695" s="49"/>
      <c r="D1695" s="49"/>
      <c r="E1695" s="49"/>
    </row>
    <row r="1696" spans="1:5">
      <c r="A1696" s="49"/>
      <c r="B1696" s="49"/>
      <c r="C1696" s="49"/>
      <c r="D1696" s="49"/>
      <c r="E1696" s="49"/>
    </row>
    <row r="1697" spans="1:5">
      <c r="A1697" s="49"/>
      <c r="B1697" s="49"/>
      <c r="C1697" s="49"/>
      <c r="D1697" s="49"/>
      <c r="E1697" s="49"/>
    </row>
    <row r="1698" spans="1:5">
      <c r="A1698" s="49"/>
      <c r="B1698" s="49"/>
      <c r="C1698" s="49"/>
      <c r="D1698" s="49"/>
      <c r="E1698" s="49"/>
    </row>
    <row r="1699" spans="1:5">
      <c r="A1699" s="49"/>
      <c r="B1699" s="49"/>
      <c r="C1699" s="49"/>
      <c r="D1699" s="49"/>
      <c r="E1699" s="49"/>
    </row>
    <row r="1700" spans="1:5">
      <c r="A1700" s="49"/>
      <c r="B1700" s="49"/>
      <c r="C1700" s="49"/>
      <c r="D1700" s="49"/>
      <c r="E1700" s="49"/>
    </row>
    <row r="1701" spans="1:5">
      <c r="A1701" s="49"/>
      <c r="B1701" s="49"/>
      <c r="C1701" s="49"/>
      <c r="D1701" s="49"/>
      <c r="E1701" s="49"/>
    </row>
    <row r="1702" spans="1:5">
      <c r="A1702" s="49"/>
      <c r="B1702" s="49"/>
      <c r="C1702" s="49"/>
      <c r="D1702" s="49"/>
      <c r="E1702" s="49"/>
    </row>
    <row r="1703" spans="1:5">
      <c r="A1703" s="49"/>
      <c r="B1703" s="49"/>
      <c r="C1703" s="49"/>
      <c r="D1703" s="49"/>
      <c r="E1703" s="49"/>
    </row>
    <row r="1704" spans="1:5">
      <c r="A1704" s="49"/>
      <c r="B1704" s="49"/>
      <c r="C1704" s="49"/>
      <c r="D1704" s="49"/>
      <c r="E1704" s="49"/>
    </row>
    <row r="1705" spans="1:5">
      <c r="A1705" s="49"/>
      <c r="B1705" s="49"/>
      <c r="C1705" s="49"/>
      <c r="D1705" s="49"/>
      <c r="E1705" s="49"/>
    </row>
    <row r="1706" spans="1:5">
      <c r="A1706" s="49"/>
      <c r="B1706" s="49"/>
      <c r="C1706" s="49"/>
      <c r="D1706" s="49"/>
      <c r="E1706" s="49"/>
    </row>
    <row r="1707" spans="1:5">
      <c r="A1707" s="49"/>
      <c r="B1707" s="49"/>
      <c r="C1707" s="49"/>
      <c r="D1707" s="49"/>
      <c r="E1707" s="49"/>
    </row>
    <row r="1708" spans="1:5">
      <c r="A1708" s="49"/>
      <c r="B1708" s="49"/>
      <c r="C1708" s="49"/>
      <c r="D1708" s="49"/>
      <c r="E1708" s="49"/>
    </row>
    <row r="1709" spans="1:5">
      <c r="A1709" s="49"/>
      <c r="B1709" s="49"/>
      <c r="C1709" s="49"/>
      <c r="D1709" s="49"/>
      <c r="E1709" s="49"/>
    </row>
    <row r="1710" spans="1:5">
      <c r="A1710" s="49"/>
      <c r="B1710" s="49"/>
      <c r="C1710" s="49"/>
      <c r="D1710" s="49"/>
      <c r="E1710" s="49"/>
    </row>
    <row r="1711" spans="1:5">
      <c r="A1711" s="49"/>
      <c r="B1711" s="49"/>
      <c r="C1711" s="49"/>
      <c r="D1711" s="49"/>
      <c r="E1711" s="49"/>
    </row>
    <row r="1712" spans="1:5">
      <c r="A1712" s="49"/>
      <c r="B1712" s="49"/>
      <c r="C1712" s="49"/>
      <c r="D1712" s="49"/>
      <c r="E1712" s="49"/>
    </row>
    <row r="1713" spans="1:5">
      <c r="A1713" s="49"/>
      <c r="B1713" s="49"/>
      <c r="C1713" s="49"/>
      <c r="D1713" s="49"/>
      <c r="E1713" s="49"/>
    </row>
    <row r="1714" spans="1:5">
      <c r="A1714" s="49"/>
      <c r="B1714" s="49"/>
      <c r="C1714" s="49"/>
      <c r="D1714" s="49"/>
      <c r="E1714" s="49"/>
    </row>
    <row r="1715" spans="1:5">
      <c r="A1715" s="49"/>
      <c r="B1715" s="49"/>
      <c r="C1715" s="49"/>
      <c r="D1715" s="49"/>
      <c r="E1715" s="49"/>
    </row>
    <row r="1716" spans="1:5">
      <c r="A1716" s="49"/>
      <c r="B1716" s="49"/>
      <c r="C1716" s="49"/>
      <c r="D1716" s="49"/>
      <c r="E1716" s="49"/>
    </row>
    <row r="1717" spans="1:5">
      <c r="A1717" s="49"/>
      <c r="B1717" s="49"/>
      <c r="C1717" s="49"/>
      <c r="D1717" s="49"/>
      <c r="E1717" s="49"/>
    </row>
    <row r="1718" spans="1:5">
      <c r="A1718" s="49"/>
      <c r="B1718" s="49"/>
      <c r="C1718" s="49"/>
      <c r="D1718" s="49"/>
      <c r="E1718" s="49"/>
    </row>
    <row r="1719" spans="1:5">
      <c r="A1719" s="49"/>
      <c r="B1719" s="49"/>
      <c r="C1719" s="49"/>
      <c r="D1719" s="49"/>
      <c r="E1719" s="49"/>
    </row>
    <row r="1720" spans="1:5">
      <c r="A1720" s="49"/>
      <c r="B1720" s="49"/>
      <c r="C1720" s="49"/>
      <c r="D1720" s="49"/>
      <c r="E1720" s="49"/>
    </row>
    <row r="1721" spans="1:5">
      <c r="A1721" s="49"/>
      <c r="B1721" s="49"/>
      <c r="C1721" s="49"/>
      <c r="D1721" s="49"/>
      <c r="E1721" s="49"/>
    </row>
    <row r="1722" spans="1:5">
      <c r="A1722" s="49"/>
      <c r="B1722" s="49"/>
      <c r="C1722" s="49"/>
      <c r="D1722" s="49"/>
      <c r="E1722" s="49"/>
    </row>
    <row r="1723" spans="1:5">
      <c r="A1723" s="49"/>
      <c r="B1723" s="49"/>
      <c r="C1723" s="49"/>
      <c r="D1723" s="49"/>
      <c r="E1723" s="49"/>
    </row>
    <row r="1724" spans="1:5">
      <c r="A1724" s="49"/>
      <c r="B1724" s="49"/>
      <c r="C1724" s="49"/>
      <c r="D1724" s="49"/>
      <c r="E1724" s="49"/>
    </row>
    <row r="1725" spans="1:5">
      <c r="A1725" s="49"/>
      <c r="B1725" s="49"/>
      <c r="C1725" s="49"/>
      <c r="D1725" s="49"/>
      <c r="E1725" s="49"/>
    </row>
    <row r="1726" spans="1:5">
      <c r="A1726" s="49"/>
      <c r="B1726" s="49"/>
      <c r="C1726" s="49"/>
      <c r="D1726" s="49"/>
      <c r="E1726" s="49"/>
    </row>
    <row r="1727" spans="1:5">
      <c r="A1727" s="49"/>
      <c r="B1727" s="49"/>
      <c r="C1727" s="49"/>
      <c r="D1727" s="49"/>
      <c r="E1727" s="49"/>
    </row>
    <row r="1728" spans="1:5">
      <c r="A1728" s="49"/>
      <c r="B1728" s="49"/>
      <c r="C1728" s="49"/>
      <c r="D1728" s="49"/>
      <c r="E1728" s="49"/>
    </row>
    <row r="1729" spans="1:5">
      <c r="A1729" s="49"/>
      <c r="B1729" s="49"/>
      <c r="C1729" s="49"/>
      <c r="D1729" s="49"/>
      <c r="E1729" s="49"/>
    </row>
    <row r="1730" spans="1:5">
      <c r="A1730" s="49"/>
      <c r="B1730" s="49"/>
      <c r="C1730" s="49"/>
      <c r="D1730" s="49"/>
      <c r="E1730" s="49"/>
    </row>
    <row r="1731" spans="1:5">
      <c r="A1731" s="49"/>
      <c r="B1731" s="49"/>
      <c r="C1731" s="49"/>
      <c r="D1731" s="49"/>
      <c r="E1731" s="49"/>
    </row>
    <row r="1732" spans="1:5">
      <c r="A1732" s="49"/>
      <c r="B1732" s="49"/>
      <c r="C1732" s="49"/>
      <c r="D1732" s="49"/>
      <c r="E1732" s="49"/>
    </row>
    <row r="1733" spans="1:5">
      <c r="A1733" s="49"/>
      <c r="B1733" s="49"/>
      <c r="C1733" s="49"/>
      <c r="D1733" s="49"/>
      <c r="E1733" s="49"/>
    </row>
    <row r="1734" spans="1:5">
      <c r="A1734" s="49"/>
      <c r="B1734" s="49"/>
      <c r="C1734" s="49"/>
      <c r="D1734" s="49"/>
      <c r="E1734" s="49"/>
    </row>
    <row r="1735" spans="1:5">
      <c r="A1735" s="49"/>
      <c r="B1735" s="49"/>
      <c r="C1735" s="49"/>
      <c r="D1735" s="49"/>
      <c r="E1735" s="49"/>
    </row>
    <row r="1736" spans="1:5">
      <c r="A1736" s="49"/>
      <c r="B1736" s="49"/>
      <c r="C1736" s="49"/>
      <c r="D1736" s="49"/>
      <c r="E1736" s="49"/>
    </row>
    <row r="1737" spans="1:5">
      <c r="A1737" s="49"/>
      <c r="B1737" s="49"/>
      <c r="C1737" s="49"/>
      <c r="D1737" s="49"/>
      <c r="E1737" s="49"/>
    </row>
    <row r="1738" spans="1:5">
      <c r="A1738" s="49"/>
      <c r="B1738" s="49"/>
      <c r="C1738" s="49"/>
      <c r="D1738" s="49"/>
      <c r="E1738" s="49"/>
    </row>
    <row r="1739" spans="1:5">
      <c r="A1739" s="49"/>
      <c r="B1739" s="49"/>
      <c r="C1739" s="49"/>
      <c r="D1739" s="49"/>
      <c r="E1739" s="49"/>
    </row>
    <row r="1740" spans="1:5">
      <c r="A1740" s="49"/>
      <c r="B1740" s="49"/>
      <c r="C1740" s="49"/>
      <c r="D1740" s="49"/>
      <c r="E1740" s="49"/>
    </row>
    <row r="1741" spans="1:5">
      <c r="A1741" s="49"/>
      <c r="B1741" s="49"/>
      <c r="C1741" s="49"/>
      <c r="D1741" s="49"/>
      <c r="E1741" s="49"/>
    </row>
    <row r="1742" spans="1:5">
      <c r="A1742" s="49"/>
      <c r="B1742" s="49"/>
      <c r="C1742" s="49"/>
      <c r="D1742" s="49"/>
      <c r="E1742" s="49"/>
    </row>
    <row r="1743" spans="1:5">
      <c r="A1743" s="49"/>
      <c r="B1743" s="49"/>
      <c r="C1743" s="49"/>
      <c r="D1743" s="49"/>
      <c r="E1743" s="49"/>
    </row>
    <row r="1744" spans="1:5">
      <c r="A1744" s="49"/>
      <c r="B1744" s="49"/>
      <c r="C1744" s="49"/>
      <c r="D1744" s="49"/>
      <c r="E1744" s="49"/>
    </row>
    <row r="1745" spans="1:5">
      <c r="A1745" s="49"/>
      <c r="B1745" s="49"/>
      <c r="C1745" s="49"/>
      <c r="D1745" s="49"/>
      <c r="E1745" s="49"/>
    </row>
    <row r="1746" spans="1:5">
      <c r="A1746" s="49"/>
      <c r="B1746" s="49"/>
      <c r="C1746" s="49"/>
      <c r="D1746" s="49"/>
      <c r="E1746" s="49"/>
    </row>
    <row r="1747" spans="1:5">
      <c r="A1747" s="49"/>
      <c r="B1747" s="49"/>
      <c r="C1747" s="49"/>
      <c r="D1747" s="49"/>
      <c r="E1747" s="49"/>
    </row>
    <row r="1748" spans="1:5">
      <c r="A1748" s="49"/>
      <c r="B1748" s="49"/>
      <c r="C1748" s="49"/>
      <c r="D1748" s="49"/>
      <c r="E1748" s="49"/>
    </row>
    <row r="1749" spans="1:5">
      <c r="A1749" s="49"/>
      <c r="B1749" s="49"/>
      <c r="C1749" s="49"/>
      <c r="D1749" s="49"/>
      <c r="E1749" s="49"/>
    </row>
    <row r="1750" spans="1:5">
      <c r="A1750" s="49"/>
      <c r="B1750" s="49"/>
      <c r="C1750" s="49"/>
      <c r="D1750" s="49"/>
      <c r="E1750" s="49"/>
    </row>
    <row r="1751" spans="1:5">
      <c r="A1751" s="49"/>
      <c r="B1751" s="49"/>
      <c r="C1751" s="49"/>
      <c r="D1751" s="49"/>
      <c r="E1751" s="49"/>
    </row>
    <row r="1752" spans="1:5">
      <c r="A1752" s="49"/>
      <c r="B1752" s="49"/>
      <c r="C1752" s="49"/>
      <c r="D1752" s="49"/>
      <c r="E1752" s="49"/>
    </row>
    <row r="1753" spans="1:5">
      <c r="A1753" s="49"/>
      <c r="B1753" s="49"/>
      <c r="C1753" s="49"/>
      <c r="D1753" s="49"/>
      <c r="E1753" s="49"/>
    </row>
    <row r="1754" spans="1:5">
      <c r="A1754" s="49"/>
      <c r="B1754" s="49"/>
      <c r="C1754" s="49"/>
      <c r="D1754" s="49"/>
      <c r="E1754" s="49"/>
    </row>
    <row r="1755" spans="1:5">
      <c r="A1755" s="49"/>
      <c r="B1755" s="49"/>
      <c r="C1755" s="49"/>
      <c r="D1755" s="49"/>
      <c r="E1755" s="49"/>
    </row>
    <row r="1756" spans="1:5">
      <c r="A1756" s="49"/>
      <c r="B1756" s="49"/>
      <c r="C1756" s="49"/>
      <c r="D1756" s="49"/>
      <c r="E1756" s="49"/>
    </row>
    <row r="1757" spans="1:5">
      <c r="A1757" s="49"/>
      <c r="B1757" s="49"/>
      <c r="C1757" s="49"/>
      <c r="D1757" s="49"/>
      <c r="E1757" s="49"/>
    </row>
    <row r="1758" spans="1:5">
      <c r="A1758" s="49"/>
      <c r="B1758" s="49"/>
      <c r="C1758" s="49"/>
      <c r="D1758" s="49"/>
      <c r="E1758" s="49"/>
    </row>
    <row r="1759" spans="1:5">
      <c r="A1759" s="49"/>
      <c r="B1759" s="49"/>
      <c r="C1759" s="49"/>
      <c r="D1759" s="49"/>
      <c r="E1759" s="49"/>
    </row>
    <row r="1760" spans="1:5">
      <c r="A1760" s="49"/>
      <c r="B1760" s="49"/>
      <c r="C1760" s="49"/>
      <c r="D1760" s="49"/>
      <c r="E1760" s="49"/>
    </row>
    <row r="1761" spans="1:5">
      <c r="A1761" s="49"/>
      <c r="B1761" s="49"/>
      <c r="C1761" s="49"/>
      <c r="D1761" s="49"/>
      <c r="E1761" s="49"/>
    </row>
    <row r="1762" spans="1:5">
      <c r="A1762" s="49"/>
      <c r="B1762" s="49"/>
      <c r="C1762" s="49"/>
      <c r="D1762" s="49"/>
      <c r="E1762" s="49"/>
    </row>
    <row r="1763" spans="1:5">
      <c r="A1763" s="49"/>
      <c r="B1763" s="49"/>
      <c r="C1763" s="49"/>
      <c r="D1763" s="49"/>
      <c r="E1763" s="49"/>
    </row>
    <row r="1764" spans="1:5">
      <c r="A1764" s="49"/>
      <c r="B1764" s="49"/>
      <c r="C1764" s="49"/>
      <c r="D1764" s="49"/>
      <c r="E1764" s="49"/>
    </row>
    <row r="1765" spans="1:5">
      <c r="A1765" s="49"/>
      <c r="B1765" s="49"/>
      <c r="C1765" s="49"/>
      <c r="D1765" s="49"/>
      <c r="E1765" s="49"/>
    </row>
    <row r="1766" spans="1:5">
      <c r="A1766" s="49"/>
      <c r="B1766" s="49"/>
      <c r="C1766" s="49"/>
      <c r="D1766" s="49"/>
      <c r="E1766" s="49"/>
    </row>
    <row r="1767" spans="1:5">
      <c r="A1767" s="49"/>
      <c r="B1767" s="49"/>
      <c r="C1767" s="49"/>
      <c r="D1767" s="49"/>
      <c r="E1767" s="49"/>
    </row>
    <row r="1768" spans="1:5">
      <c r="A1768" s="49"/>
      <c r="B1768" s="49"/>
      <c r="C1768" s="49"/>
      <c r="D1768" s="49"/>
      <c r="E1768" s="49"/>
    </row>
    <row r="1769" spans="1:5">
      <c r="A1769" s="49"/>
      <c r="B1769" s="49"/>
      <c r="C1769" s="49"/>
      <c r="D1769" s="49"/>
      <c r="E1769" s="49"/>
    </row>
    <row r="1770" spans="1:5">
      <c r="A1770" s="49"/>
      <c r="B1770" s="49"/>
      <c r="C1770" s="49"/>
      <c r="D1770" s="49"/>
      <c r="E1770" s="49"/>
    </row>
    <row r="1771" spans="1:5">
      <c r="A1771" s="49"/>
      <c r="B1771" s="49"/>
      <c r="C1771" s="49"/>
      <c r="D1771" s="49"/>
      <c r="E1771" s="49"/>
    </row>
    <row r="1772" spans="1:5">
      <c r="A1772" s="49"/>
      <c r="B1772" s="49"/>
      <c r="C1772" s="49"/>
      <c r="D1772" s="49"/>
      <c r="E1772" s="49"/>
    </row>
    <row r="1773" spans="1:5">
      <c r="A1773" s="49"/>
      <c r="B1773" s="49"/>
      <c r="C1773" s="49"/>
      <c r="D1773" s="49"/>
      <c r="E1773" s="49"/>
    </row>
    <row r="1774" spans="1:5">
      <c r="A1774" s="49"/>
      <c r="B1774" s="49"/>
      <c r="C1774" s="49"/>
      <c r="D1774" s="49"/>
      <c r="E1774" s="49"/>
    </row>
    <row r="1775" spans="1:5">
      <c r="A1775" s="49"/>
      <c r="B1775" s="49"/>
      <c r="C1775" s="49"/>
      <c r="D1775" s="49"/>
      <c r="E1775" s="49"/>
    </row>
    <row r="1776" spans="1:5">
      <c r="A1776" s="49"/>
      <c r="B1776" s="49"/>
      <c r="C1776" s="49"/>
      <c r="D1776" s="49"/>
      <c r="E1776" s="49"/>
    </row>
    <row r="1777" spans="1:5">
      <c r="A1777" s="49"/>
      <c r="B1777" s="49"/>
      <c r="C1777" s="49"/>
      <c r="D1777" s="49"/>
      <c r="E1777" s="49"/>
    </row>
    <row r="1778" spans="1:5">
      <c r="A1778" s="49"/>
      <c r="B1778" s="49"/>
      <c r="C1778" s="49"/>
      <c r="D1778" s="49"/>
      <c r="E1778" s="49"/>
    </row>
    <row r="1779" spans="1:5">
      <c r="A1779" s="49"/>
      <c r="B1779" s="49"/>
      <c r="C1779" s="49"/>
      <c r="D1779" s="49"/>
      <c r="E1779" s="49"/>
    </row>
    <row r="1780" spans="1:5">
      <c r="A1780" s="49"/>
      <c r="B1780" s="49"/>
      <c r="C1780" s="49"/>
      <c r="D1780" s="49"/>
      <c r="E1780" s="49"/>
    </row>
    <row r="1781" spans="1:5">
      <c r="A1781" s="49"/>
      <c r="B1781" s="49"/>
      <c r="C1781" s="49"/>
      <c r="D1781" s="49"/>
      <c r="E1781" s="49"/>
    </row>
    <row r="1782" spans="1:5">
      <c r="A1782" s="49"/>
      <c r="B1782" s="49"/>
      <c r="C1782" s="49"/>
      <c r="D1782" s="49"/>
      <c r="E1782" s="49"/>
    </row>
    <row r="1783" spans="1:5">
      <c r="A1783" s="49"/>
      <c r="B1783" s="49"/>
      <c r="C1783" s="49"/>
      <c r="D1783" s="49"/>
      <c r="E1783" s="49"/>
    </row>
    <row r="1784" spans="1:5">
      <c r="A1784" s="49"/>
      <c r="B1784" s="49"/>
      <c r="C1784" s="49"/>
      <c r="D1784" s="49"/>
      <c r="E1784" s="49"/>
    </row>
    <row r="1785" spans="1:5">
      <c r="A1785" s="49"/>
      <c r="B1785" s="49"/>
      <c r="C1785" s="49"/>
      <c r="D1785" s="49"/>
      <c r="E1785" s="49"/>
    </row>
    <row r="1786" spans="1:5">
      <c r="A1786" s="49"/>
      <c r="B1786" s="49"/>
      <c r="C1786" s="49"/>
      <c r="D1786" s="49"/>
      <c r="E1786" s="49"/>
    </row>
    <row r="1787" spans="1:5">
      <c r="A1787" s="49"/>
      <c r="B1787" s="49"/>
      <c r="C1787" s="49"/>
      <c r="D1787" s="49"/>
      <c r="E1787" s="49"/>
    </row>
    <row r="1788" spans="1:5">
      <c r="A1788" s="49"/>
      <c r="B1788" s="49"/>
      <c r="C1788" s="49"/>
      <c r="D1788" s="49"/>
      <c r="E1788" s="49"/>
    </row>
    <row r="1789" spans="1:5">
      <c r="A1789" s="49"/>
      <c r="B1789" s="49"/>
      <c r="C1789" s="49"/>
      <c r="D1789" s="49"/>
      <c r="E1789" s="49"/>
    </row>
    <row r="1790" spans="1:5">
      <c r="A1790" s="49"/>
      <c r="B1790" s="49"/>
      <c r="C1790" s="49"/>
      <c r="D1790" s="49"/>
      <c r="E1790" s="49"/>
    </row>
    <row r="1791" spans="1:5">
      <c r="A1791" s="49"/>
      <c r="B1791" s="49"/>
      <c r="C1791" s="49"/>
      <c r="D1791" s="49"/>
      <c r="E1791" s="49"/>
    </row>
    <row r="1792" spans="1:5">
      <c r="A1792" s="49"/>
      <c r="B1792" s="49"/>
      <c r="C1792" s="49"/>
      <c r="D1792" s="49"/>
      <c r="E1792" s="49"/>
    </row>
    <row r="1793" spans="1:5">
      <c r="A1793" s="49"/>
      <c r="B1793" s="49"/>
      <c r="C1793" s="49"/>
      <c r="D1793" s="49"/>
      <c r="E1793" s="49"/>
    </row>
    <row r="1794" spans="1:5">
      <c r="A1794" s="49"/>
      <c r="B1794" s="49"/>
      <c r="C1794" s="49"/>
      <c r="D1794" s="49"/>
      <c r="E1794" s="49"/>
    </row>
    <row r="1795" spans="1:5">
      <c r="A1795" s="49"/>
      <c r="B1795" s="49"/>
      <c r="C1795" s="49"/>
      <c r="D1795" s="49"/>
      <c r="E1795" s="49"/>
    </row>
    <row r="1796" spans="1:5">
      <c r="A1796" s="49"/>
      <c r="B1796" s="49"/>
      <c r="C1796" s="49"/>
      <c r="D1796" s="49"/>
      <c r="E1796" s="49"/>
    </row>
    <row r="1797" spans="1:5">
      <c r="A1797" s="49"/>
      <c r="B1797" s="49"/>
      <c r="C1797" s="49"/>
      <c r="D1797" s="49"/>
      <c r="E1797" s="49"/>
    </row>
    <row r="1798" spans="1:5">
      <c r="A1798" s="49"/>
      <c r="B1798" s="49"/>
      <c r="C1798" s="49"/>
      <c r="D1798" s="49"/>
      <c r="E1798" s="49"/>
    </row>
    <row r="1799" spans="1:5">
      <c r="A1799" s="49"/>
      <c r="B1799" s="49"/>
      <c r="C1799" s="49"/>
      <c r="D1799" s="49"/>
      <c r="E1799" s="49"/>
    </row>
    <row r="1800" spans="1:5">
      <c r="A1800" s="49"/>
      <c r="B1800" s="49"/>
      <c r="C1800" s="49"/>
      <c r="D1800" s="49"/>
      <c r="E1800" s="49"/>
    </row>
    <row r="1801" spans="1:5">
      <c r="A1801" s="49"/>
      <c r="B1801" s="49"/>
      <c r="C1801" s="49"/>
      <c r="D1801" s="49"/>
      <c r="E1801" s="49"/>
    </row>
    <row r="1802" spans="1:5">
      <c r="A1802" s="49"/>
      <c r="B1802" s="49"/>
      <c r="C1802" s="49"/>
      <c r="D1802" s="49"/>
      <c r="E1802" s="49"/>
    </row>
    <row r="1803" spans="1:5">
      <c r="A1803" s="49"/>
      <c r="B1803" s="49"/>
      <c r="C1803" s="49"/>
      <c r="D1803" s="49"/>
      <c r="E1803" s="49"/>
    </row>
    <row r="1804" spans="1:5">
      <c r="A1804" s="49"/>
      <c r="B1804" s="49"/>
      <c r="C1804" s="49"/>
      <c r="D1804" s="49"/>
      <c r="E1804" s="49"/>
    </row>
    <row r="1805" spans="1:5">
      <c r="A1805" s="49"/>
      <c r="B1805" s="49"/>
      <c r="C1805" s="49"/>
      <c r="D1805" s="49"/>
      <c r="E1805" s="49"/>
    </row>
    <row r="1806" spans="1:5">
      <c r="A1806" s="49"/>
      <c r="B1806" s="49"/>
      <c r="C1806" s="49"/>
      <c r="D1806" s="49"/>
      <c r="E1806" s="49"/>
    </row>
    <row r="1807" spans="1:5">
      <c r="A1807" s="49"/>
      <c r="B1807" s="49"/>
      <c r="C1807" s="49"/>
      <c r="D1807" s="49"/>
      <c r="E1807" s="49"/>
    </row>
    <row r="1808" spans="1:5">
      <c r="A1808" s="49"/>
      <c r="B1808" s="49"/>
      <c r="C1808" s="49"/>
      <c r="D1808" s="49"/>
      <c r="E1808" s="49"/>
    </row>
    <row r="1809" spans="1:5">
      <c r="A1809" s="49"/>
      <c r="B1809" s="49"/>
      <c r="C1809" s="49"/>
      <c r="D1809" s="49"/>
      <c r="E1809" s="49"/>
    </row>
    <row r="1810" spans="1:5">
      <c r="A1810" s="49"/>
      <c r="B1810" s="49"/>
      <c r="C1810" s="49"/>
      <c r="D1810" s="49"/>
      <c r="E1810" s="49"/>
    </row>
    <row r="1811" spans="1:5">
      <c r="A1811" s="49"/>
      <c r="B1811" s="49"/>
      <c r="C1811" s="49"/>
      <c r="D1811" s="49"/>
      <c r="E1811" s="49"/>
    </row>
    <row r="1812" spans="1:5">
      <c r="A1812" s="49"/>
      <c r="B1812" s="49"/>
      <c r="C1812" s="49"/>
      <c r="D1812" s="49"/>
      <c r="E1812" s="49"/>
    </row>
    <row r="1813" spans="1:5">
      <c r="A1813" s="49"/>
      <c r="B1813" s="49"/>
      <c r="C1813" s="49"/>
      <c r="D1813" s="49"/>
      <c r="E1813" s="49"/>
    </row>
    <row r="1814" spans="1:5">
      <c r="A1814" s="49"/>
      <c r="B1814" s="49"/>
      <c r="C1814" s="49"/>
      <c r="D1814" s="49"/>
      <c r="E1814" s="49"/>
    </row>
    <row r="1815" spans="1:5">
      <c r="A1815" s="49"/>
      <c r="B1815" s="49"/>
      <c r="C1815" s="49"/>
      <c r="D1815" s="49"/>
      <c r="E1815" s="49"/>
    </row>
    <row r="1816" spans="1:5">
      <c r="A1816" s="49"/>
      <c r="B1816" s="49"/>
      <c r="C1816" s="49"/>
      <c r="D1816" s="49"/>
      <c r="E1816" s="49"/>
    </row>
    <row r="1817" spans="1:5">
      <c r="A1817" s="49"/>
      <c r="B1817" s="49"/>
      <c r="C1817" s="49"/>
      <c r="D1817" s="49"/>
      <c r="E1817" s="49"/>
    </row>
    <row r="1818" spans="1:5">
      <c r="A1818" s="49"/>
      <c r="B1818" s="49"/>
      <c r="C1818" s="49"/>
      <c r="D1818" s="49"/>
      <c r="E1818" s="49"/>
    </row>
    <row r="1819" spans="1:5">
      <c r="A1819" s="49"/>
      <c r="B1819" s="49"/>
      <c r="C1819" s="49"/>
      <c r="D1819" s="49"/>
      <c r="E1819" s="49"/>
    </row>
    <row r="1820" spans="1:5">
      <c r="A1820" s="49"/>
      <c r="B1820" s="49"/>
      <c r="C1820" s="49"/>
      <c r="D1820" s="49"/>
      <c r="E1820" s="49"/>
    </row>
    <row r="1821" spans="1:5">
      <c r="A1821" s="49"/>
      <c r="B1821" s="49"/>
      <c r="C1821" s="49"/>
      <c r="D1821" s="49"/>
      <c r="E1821" s="49"/>
    </row>
    <row r="1822" spans="1:5">
      <c r="A1822" s="49"/>
      <c r="B1822" s="49"/>
      <c r="C1822" s="49"/>
      <c r="D1822" s="49"/>
      <c r="E1822" s="49"/>
    </row>
    <row r="1823" spans="1:5">
      <c r="A1823" s="49"/>
      <c r="B1823" s="49"/>
      <c r="C1823" s="49"/>
      <c r="D1823" s="49"/>
      <c r="E1823" s="49"/>
    </row>
    <row r="1824" spans="1:5">
      <c r="A1824" s="49"/>
      <c r="B1824" s="49"/>
      <c r="C1824" s="49"/>
      <c r="D1824" s="49"/>
      <c r="E1824" s="49"/>
    </row>
    <row r="1825" spans="1:5">
      <c r="A1825" s="49"/>
      <c r="B1825" s="49"/>
      <c r="C1825" s="49"/>
      <c r="D1825" s="49"/>
      <c r="E1825" s="49"/>
    </row>
    <row r="1826" spans="1:5">
      <c r="A1826" s="49"/>
      <c r="B1826" s="49"/>
      <c r="C1826" s="49"/>
      <c r="D1826" s="49"/>
      <c r="E1826" s="49"/>
    </row>
    <row r="1827" spans="1:5">
      <c r="A1827" s="49"/>
      <c r="B1827" s="49"/>
      <c r="C1827" s="49"/>
      <c r="D1827" s="49"/>
      <c r="E1827" s="49"/>
    </row>
    <row r="1828" spans="1:5">
      <c r="A1828" s="49"/>
      <c r="B1828" s="49"/>
      <c r="C1828" s="49"/>
      <c r="D1828" s="49"/>
      <c r="E1828" s="49"/>
    </row>
    <row r="1829" spans="1:5">
      <c r="A1829" s="49"/>
      <c r="B1829" s="49"/>
      <c r="C1829" s="49"/>
      <c r="D1829" s="49"/>
      <c r="E1829" s="49"/>
    </row>
    <row r="1830" spans="1:5">
      <c r="A1830" s="49"/>
      <c r="B1830" s="49"/>
      <c r="C1830" s="49"/>
      <c r="D1830" s="49"/>
      <c r="E1830" s="49"/>
    </row>
    <row r="1831" spans="1:5">
      <c r="A1831" s="49"/>
      <c r="B1831" s="49"/>
      <c r="C1831" s="49"/>
      <c r="D1831" s="49"/>
      <c r="E1831" s="49"/>
    </row>
    <row r="1832" spans="1:5">
      <c r="A1832" s="49"/>
      <c r="B1832" s="49"/>
      <c r="C1832" s="49"/>
      <c r="D1832" s="49"/>
      <c r="E1832" s="49"/>
    </row>
    <row r="1833" spans="1:5">
      <c r="A1833" s="49"/>
      <c r="B1833" s="49"/>
      <c r="C1833" s="49"/>
      <c r="D1833" s="49"/>
      <c r="E1833" s="49"/>
    </row>
    <row r="1834" spans="1:5">
      <c r="A1834" s="49"/>
      <c r="B1834" s="49"/>
      <c r="C1834" s="49"/>
      <c r="D1834" s="49"/>
      <c r="E1834" s="49"/>
    </row>
    <row r="1835" spans="1:5">
      <c r="A1835" s="49"/>
      <c r="B1835" s="49"/>
      <c r="C1835" s="49"/>
      <c r="D1835" s="49"/>
      <c r="E1835" s="49"/>
    </row>
    <row r="1836" spans="1:5">
      <c r="A1836" s="49"/>
      <c r="B1836" s="49"/>
      <c r="C1836" s="49"/>
      <c r="D1836" s="49"/>
      <c r="E1836" s="49"/>
    </row>
    <row r="1837" spans="1:5">
      <c r="A1837" s="49"/>
      <c r="B1837" s="49"/>
      <c r="C1837" s="49"/>
      <c r="D1837" s="49"/>
      <c r="E1837" s="49"/>
    </row>
    <row r="1838" spans="1:5">
      <c r="A1838" s="49"/>
      <c r="B1838" s="49"/>
      <c r="C1838" s="49"/>
      <c r="D1838" s="49"/>
      <c r="E1838" s="49"/>
    </row>
    <row r="1839" spans="1:5">
      <c r="A1839" s="49"/>
      <c r="B1839" s="49"/>
      <c r="C1839" s="49"/>
      <c r="D1839" s="49"/>
      <c r="E1839" s="49"/>
    </row>
    <row r="1840" spans="1:5">
      <c r="A1840" s="49"/>
      <c r="B1840" s="49"/>
      <c r="C1840" s="49"/>
      <c r="D1840" s="49"/>
      <c r="E1840" s="49"/>
    </row>
    <row r="1841" spans="1:5">
      <c r="A1841" s="49"/>
      <c r="B1841" s="49"/>
      <c r="C1841" s="49"/>
      <c r="D1841" s="49"/>
      <c r="E1841" s="49"/>
    </row>
    <row r="1842" spans="1:5">
      <c r="A1842" s="49"/>
      <c r="B1842" s="49"/>
      <c r="C1842" s="49"/>
      <c r="D1842" s="49"/>
      <c r="E1842" s="49"/>
    </row>
    <row r="1843" spans="1:5">
      <c r="A1843" s="49"/>
      <c r="B1843" s="49"/>
      <c r="C1843" s="49"/>
      <c r="D1843" s="49"/>
      <c r="E1843" s="49"/>
    </row>
    <row r="1844" spans="1:5">
      <c r="A1844" s="49"/>
      <c r="B1844" s="49"/>
      <c r="C1844" s="49"/>
      <c r="D1844" s="49"/>
      <c r="E1844" s="49"/>
    </row>
    <row r="1845" spans="1:5">
      <c r="A1845" s="49"/>
      <c r="B1845" s="49"/>
      <c r="C1845" s="49"/>
      <c r="D1845" s="49"/>
      <c r="E1845" s="49"/>
    </row>
    <row r="1846" spans="1:5">
      <c r="A1846" s="49"/>
      <c r="B1846" s="49"/>
      <c r="C1846" s="49"/>
      <c r="D1846" s="49"/>
      <c r="E1846" s="49"/>
    </row>
    <row r="1847" spans="1:5">
      <c r="A1847" s="49"/>
      <c r="B1847" s="49"/>
      <c r="C1847" s="49"/>
      <c r="D1847" s="49"/>
      <c r="E1847" s="49"/>
    </row>
    <row r="1848" spans="1:5">
      <c r="A1848" s="49"/>
      <c r="B1848" s="49"/>
      <c r="C1848" s="49"/>
      <c r="D1848" s="49"/>
      <c r="E1848" s="49"/>
    </row>
    <row r="1849" spans="1:5">
      <c r="A1849" s="49"/>
      <c r="B1849" s="49"/>
      <c r="C1849" s="49"/>
      <c r="D1849" s="49"/>
      <c r="E1849" s="49"/>
    </row>
    <row r="1850" spans="1:5">
      <c r="A1850" s="49"/>
      <c r="B1850" s="49"/>
      <c r="C1850" s="49"/>
      <c r="D1850" s="49"/>
      <c r="E1850" s="49"/>
    </row>
    <row r="1851" spans="1:5">
      <c r="A1851" s="49"/>
      <c r="B1851" s="49"/>
      <c r="C1851" s="49"/>
      <c r="D1851" s="49"/>
      <c r="E1851" s="49"/>
    </row>
    <row r="1852" spans="1:5">
      <c r="A1852" s="49"/>
      <c r="B1852" s="49"/>
      <c r="C1852" s="49"/>
      <c r="D1852" s="49"/>
      <c r="E1852" s="49"/>
    </row>
    <row r="1853" spans="1:5">
      <c r="A1853" s="49"/>
      <c r="B1853" s="49"/>
      <c r="C1853" s="49"/>
      <c r="D1853" s="49"/>
      <c r="E1853" s="49"/>
    </row>
    <row r="1854" spans="1:5">
      <c r="A1854" s="49"/>
      <c r="B1854" s="49"/>
      <c r="C1854" s="49"/>
      <c r="D1854" s="49"/>
      <c r="E1854" s="49"/>
    </row>
    <row r="1855" spans="1:5">
      <c r="A1855" s="49"/>
      <c r="B1855" s="49"/>
      <c r="C1855" s="49"/>
      <c r="D1855" s="49"/>
      <c r="E1855" s="49"/>
    </row>
    <row r="1856" spans="1:5">
      <c r="A1856" s="49"/>
      <c r="B1856" s="49"/>
      <c r="C1856" s="49"/>
      <c r="D1856" s="49"/>
      <c r="E1856" s="49"/>
    </row>
    <row r="1857" spans="1:5">
      <c r="A1857" s="49"/>
      <c r="B1857" s="49"/>
      <c r="C1857" s="49"/>
      <c r="D1857" s="49"/>
      <c r="E1857" s="49"/>
    </row>
    <row r="1858" spans="1:5">
      <c r="A1858" s="49"/>
      <c r="B1858" s="49"/>
      <c r="C1858" s="49"/>
      <c r="D1858" s="49"/>
      <c r="E1858" s="49"/>
    </row>
    <row r="1859" spans="1:5">
      <c r="A1859" s="49"/>
      <c r="B1859" s="49"/>
      <c r="C1859" s="49"/>
      <c r="D1859" s="49"/>
      <c r="E1859" s="49"/>
    </row>
    <row r="1860" spans="1:5">
      <c r="A1860" s="49"/>
      <c r="B1860" s="49"/>
      <c r="C1860" s="49"/>
      <c r="D1860" s="49"/>
      <c r="E1860" s="49"/>
    </row>
    <row r="1861" spans="1:5">
      <c r="A1861" s="49"/>
      <c r="B1861" s="49"/>
      <c r="C1861" s="49"/>
      <c r="D1861" s="49"/>
      <c r="E1861" s="49"/>
    </row>
    <row r="1862" spans="1:5">
      <c r="A1862" s="49"/>
      <c r="B1862" s="49"/>
      <c r="C1862" s="49"/>
      <c r="D1862" s="49"/>
      <c r="E1862" s="49"/>
    </row>
    <row r="1863" spans="1:5">
      <c r="A1863" s="49"/>
      <c r="B1863" s="49"/>
      <c r="C1863" s="49"/>
      <c r="D1863" s="49"/>
      <c r="E1863" s="49"/>
    </row>
    <row r="1864" spans="1:5">
      <c r="A1864" s="49"/>
      <c r="B1864" s="49"/>
      <c r="C1864" s="49"/>
      <c r="D1864" s="49"/>
      <c r="E1864" s="49"/>
    </row>
    <row r="1865" spans="1:5">
      <c r="A1865" s="49"/>
      <c r="B1865" s="49"/>
      <c r="C1865" s="49"/>
      <c r="D1865" s="49"/>
      <c r="E1865" s="49"/>
    </row>
    <row r="1866" spans="1:5">
      <c r="A1866" s="49"/>
      <c r="B1866" s="49"/>
      <c r="C1866" s="49"/>
      <c r="D1866" s="49"/>
      <c r="E1866" s="49"/>
    </row>
    <row r="1867" spans="1:5">
      <c r="A1867" s="49"/>
      <c r="B1867" s="49"/>
      <c r="C1867" s="49"/>
      <c r="D1867" s="49"/>
      <c r="E1867" s="49"/>
    </row>
    <row r="1868" spans="1:5">
      <c r="A1868" s="49"/>
      <c r="B1868" s="49"/>
      <c r="C1868" s="49"/>
      <c r="D1868" s="49"/>
      <c r="E1868" s="49"/>
    </row>
    <row r="1869" spans="1:5">
      <c r="A1869" s="49"/>
      <c r="B1869" s="49"/>
      <c r="C1869" s="49"/>
      <c r="D1869" s="49"/>
      <c r="E1869" s="49"/>
    </row>
    <row r="1870" spans="1:5">
      <c r="A1870" s="49"/>
      <c r="B1870" s="49"/>
      <c r="C1870" s="49"/>
      <c r="D1870" s="49"/>
      <c r="E1870" s="49"/>
    </row>
    <row r="1871" spans="1:5">
      <c r="A1871" s="49"/>
      <c r="B1871" s="49"/>
      <c r="C1871" s="49"/>
      <c r="D1871" s="49"/>
      <c r="E1871" s="49"/>
    </row>
    <row r="1872" spans="1:5">
      <c r="A1872" s="49"/>
      <c r="B1872" s="49"/>
      <c r="C1872" s="49"/>
      <c r="D1872" s="49"/>
      <c r="E1872" s="49"/>
    </row>
    <row r="1873" spans="1:5">
      <c r="A1873" s="49"/>
      <c r="B1873" s="49"/>
      <c r="C1873" s="49"/>
      <c r="D1873" s="49"/>
      <c r="E1873" s="49"/>
    </row>
    <row r="1874" spans="1:5">
      <c r="A1874" s="49"/>
      <c r="B1874" s="49"/>
      <c r="C1874" s="49"/>
      <c r="D1874" s="49"/>
      <c r="E1874" s="49"/>
    </row>
    <row r="1875" spans="1:5">
      <c r="A1875" s="49"/>
      <c r="B1875" s="49"/>
      <c r="C1875" s="49"/>
      <c r="D1875" s="49"/>
      <c r="E1875" s="49"/>
    </row>
    <row r="1876" spans="1:5">
      <c r="A1876" s="49"/>
      <c r="B1876" s="49"/>
      <c r="C1876" s="49"/>
      <c r="D1876" s="49"/>
      <c r="E1876" s="49"/>
    </row>
    <row r="1877" spans="1:5">
      <c r="A1877" s="49"/>
      <c r="B1877" s="49"/>
      <c r="C1877" s="49"/>
      <c r="D1877" s="49"/>
      <c r="E1877" s="49"/>
    </row>
    <row r="1878" spans="1:5">
      <c r="A1878" s="49"/>
      <c r="B1878" s="49"/>
      <c r="C1878" s="49"/>
      <c r="D1878" s="49"/>
      <c r="E1878" s="49"/>
    </row>
    <row r="1879" spans="1:5">
      <c r="A1879" s="49"/>
      <c r="B1879" s="49"/>
      <c r="C1879" s="49"/>
      <c r="D1879" s="49"/>
      <c r="E1879" s="49"/>
    </row>
    <row r="1880" spans="1:5">
      <c r="A1880" s="49"/>
      <c r="B1880" s="49"/>
      <c r="C1880" s="49"/>
      <c r="D1880" s="49"/>
      <c r="E1880" s="49"/>
    </row>
    <row r="1881" spans="1:5">
      <c r="A1881" s="49"/>
      <c r="B1881" s="49"/>
      <c r="C1881" s="49"/>
      <c r="D1881" s="49"/>
      <c r="E1881" s="49"/>
    </row>
    <row r="1882" spans="1:5">
      <c r="A1882" s="49"/>
      <c r="B1882" s="49"/>
      <c r="C1882" s="49"/>
      <c r="D1882" s="49"/>
      <c r="E1882" s="49"/>
    </row>
    <row r="1883" spans="1:5">
      <c r="A1883" s="49"/>
      <c r="B1883" s="49"/>
      <c r="C1883" s="49"/>
      <c r="D1883" s="49"/>
      <c r="E1883" s="49"/>
    </row>
    <row r="1884" spans="1:5">
      <c r="A1884" s="49"/>
      <c r="B1884" s="49"/>
      <c r="C1884" s="49"/>
      <c r="D1884" s="49"/>
      <c r="E1884" s="49"/>
    </row>
    <row r="1885" spans="1:5">
      <c r="A1885" s="49"/>
      <c r="B1885" s="49"/>
      <c r="C1885" s="49"/>
      <c r="D1885" s="49"/>
      <c r="E1885" s="49"/>
    </row>
    <row r="1886" spans="1:5">
      <c r="A1886" s="49"/>
      <c r="B1886" s="49"/>
      <c r="C1886" s="49"/>
      <c r="D1886" s="49"/>
      <c r="E1886" s="49"/>
    </row>
    <row r="1887" spans="1:5">
      <c r="A1887" s="49"/>
      <c r="B1887" s="49"/>
      <c r="C1887" s="49"/>
      <c r="D1887" s="49"/>
      <c r="E1887" s="49"/>
    </row>
    <row r="1888" spans="1:5">
      <c r="A1888" s="49"/>
      <c r="B1888" s="49"/>
      <c r="C1888" s="49"/>
      <c r="D1888" s="49"/>
      <c r="E1888" s="49"/>
    </row>
    <row r="1889" spans="1:5">
      <c r="A1889" s="49"/>
      <c r="B1889" s="49"/>
      <c r="C1889" s="49"/>
      <c r="D1889" s="49"/>
      <c r="E1889" s="49"/>
    </row>
    <row r="1890" spans="1:5">
      <c r="A1890" s="49"/>
      <c r="B1890" s="49"/>
      <c r="C1890" s="49"/>
      <c r="D1890" s="49"/>
      <c r="E1890" s="49"/>
    </row>
    <row r="1891" spans="1:5">
      <c r="A1891" s="49"/>
      <c r="B1891" s="49"/>
      <c r="C1891" s="49"/>
      <c r="D1891" s="49"/>
      <c r="E1891" s="49"/>
    </row>
    <row r="1892" spans="1:5">
      <c r="A1892" s="49"/>
      <c r="B1892" s="49"/>
      <c r="C1892" s="49"/>
      <c r="D1892" s="49"/>
      <c r="E1892" s="49"/>
    </row>
    <row r="1893" spans="1:5">
      <c r="A1893" s="49"/>
      <c r="B1893" s="49"/>
      <c r="C1893" s="49"/>
      <c r="D1893" s="49"/>
      <c r="E1893" s="49"/>
    </row>
    <row r="1894" spans="1:5">
      <c r="A1894" s="49"/>
      <c r="B1894" s="49"/>
      <c r="C1894" s="49"/>
      <c r="D1894" s="49"/>
      <c r="E1894" s="49"/>
    </row>
    <row r="1895" spans="1:5">
      <c r="A1895" s="49"/>
      <c r="B1895" s="49"/>
      <c r="C1895" s="49"/>
      <c r="D1895" s="49"/>
      <c r="E1895" s="49"/>
    </row>
    <row r="1896" spans="1:5">
      <c r="A1896" s="49"/>
      <c r="B1896" s="49"/>
      <c r="C1896" s="49"/>
      <c r="D1896" s="49"/>
      <c r="E1896" s="49"/>
    </row>
    <row r="1897" spans="1:5">
      <c r="A1897" s="49"/>
      <c r="B1897" s="49"/>
      <c r="C1897" s="49"/>
      <c r="D1897" s="49"/>
      <c r="E1897" s="49"/>
    </row>
    <row r="1898" spans="1:5">
      <c r="A1898" s="49"/>
      <c r="B1898" s="49"/>
      <c r="C1898" s="49"/>
      <c r="D1898" s="49"/>
      <c r="E1898" s="49"/>
    </row>
    <row r="1899" spans="1:5">
      <c r="A1899" s="49"/>
      <c r="B1899" s="49"/>
      <c r="C1899" s="49"/>
      <c r="D1899" s="49"/>
      <c r="E1899" s="49"/>
    </row>
    <row r="1900" spans="1:5">
      <c r="A1900" s="49"/>
      <c r="B1900" s="49"/>
      <c r="C1900" s="49"/>
      <c r="D1900" s="49"/>
      <c r="E1900" s="49"/>
    </row>
    <row r="1901" spans="1:5">
      <c r="A1901" s="49"/>
      <c r="B1901" s="49"/>
      <c r="C1901" s="49"/>
      <c r="D1901" s="49"/>
      <c r="E1901" s="49"/>
    </row>
    <row r="1902" spans="1:5">
      <c r="A1902" s="49"/>
      <c r="B1902" s="49"/>
      <c r="C1902" s="49"/>
      <c r="D1902" s="49"/>
      <c r="E1902" s="49"/>
    </row>
    <row r="1903" spans="1:5">
      <c r="A1903" s="49"/>
      <c r="B1903" s="49"/>
      <c r="C1903" s="49"/>
      <c r="D1903" s="49"/>
      <c r="E1903" s="49"/>
    </row>
    <row r="1904" spans="1:5">
      <c r="A1904" s="49"/>
      <c r="B1904" s="49"/>
      <c r="C1904" s="49"/>
      <c r="D1904" s="49"/>
      <c r="E1904" s="49"/>
    </row>
    <row r="1905" spans="1:5">
      <c r="A1905" s="49"/>
      <c r="B1905" s="49"/>
      <c r="C1905" s="49"/>
      <c r="D1905" s="49"/>
      <c r="E1905" s="49"/>
    </row>
    <row r="1906" spans="1:5">
      <c r="A1906" s="49"/>
      <c r="B1906" s="49"/>
      <c r="C1906" s="49"/>
      <c r="D1906" s="49"/>
      <c r="E1906" s="49"/>
    </row>
    <row r="1907" spans="1:5">
      <c r="A1907" s="49"/>
      <c r="B1907" s="49"/>
      <c r="C1907" s="49"/>
      <c r="D1907" s="49"/>
      <c r="E1907" s="49"/>
    </row>
    <row r="1908" spans="1:5">
      <c r="A1908" s="49"/>
      <c r="B1908" s="49"/>
      <c r="C1908" s="49"/>
      <c r="D1908" s="49"/>
      <c r="E1908" s="49"/>
    </row>
    <row r="1909" spans="1:5">
      <c r="A1909" s="49"/>
      <c r="B1909" s="49"/>
      <c r="C1909" s="49"/>
      <c r="D1909" s="49"/>
      <c r="E1909" s="49"/>
    </row>
    <row r="1910" spans="1:5">
      <c r="A1910" s="49"/>
      <c r="B1910" s="49"/>
      <c r="C1910" s="49"/>
      <c r="D1910" s="49"/>
      <c r="E1910" s="49"/>
    </row>
    <row r="1911" spans="1:5">
      <c r="A1911" s="49"/>
      <c r="B1911" s="49"/>
      <c r="C1911" s="49"/>
      <c r="D1911" s="49"/>
      <c r="E1911" s="49"/>
    </row>
    <row r="1912" spans="1:5">
      <c r="A1912" s="49"/>
      <c r="B1912" s="49"/>
      <c r="C1912" s="49"/>
      <c r="D1912" s="49"/>
      <c r="E1912" s="49"/>
    </row>
    <row r="1913" spans="1:5">
      <c r="A1913" s="49"/>
      <c r="B1913" s="49"/>
      <c r="C1913" s="49"/>
      <c r="D1913" s="49"/>
      <c r="E1913" s="49"/>
    </row>
    <row r="1914" spans="1:5">
      <c r="A1914" s="49"/>
      <c r="B1914" s="49"/>
      <c r="C1914" s="49"/>
      <c r="D1914" s="49"/>
      <c r="E1914" s="49"/>
    </row>
    <row r="1915" spans="1:5">
      <c r="A1915" s="49"/>
      <c r="B1915" s="49"/>
      <c r="C1915" s="49"/>
      <c r="D1915" s="49"/>
      <c r="E1915" s="49"/>
    </row>
    <row r="1916" spans="1:5">
      <c r="A1916" s="49"/>
      <c r="B1916" s="49"/>
      <c r="C1916" s="49"/>
      <c r="D1916" s="49"/>
      <c r="E1916" s="49"/>
    </row>
    <row r="1917" spans="1:5">
      <c r="A1917" s="49"/>
      <c r="B1917" s="49"/>
      <c r="C1917" s="49"/>
      <c r="D1917" s="49"/>
      <c r="E1917" s="49"/>
    </row>
    <row r="1918" spans="1:5">
      <c r="A1918" s="49"/>
      <c r="B1918" s="49"/>
      <c r="C1918" s="49"/>
      <c r="D1918" s="49"/>
      <c r="E1918" s="49"/>
    </row>
    <row r="1919" spans="1:5">
      <c r="A1919" s="49"/>
      <c r="B1919" s="49"/>
      <c r="C1919" s="49"/>
      <c r="D1919" s="49"/>
      <c r="E1919" s="49"/>
    </row>
    <row r="1920" spans="1:5">
      <c r="A1920" s="49"/>
      <c r="B1920" s="49"/>
      <c r="C1920" s="49"/>
      <c r="D1920" s="49"/>
      <c r="E1920" s="49"/>
    </row>
    <row r="1921" spans="1:5">
      <c r="A1921" s="49"/>
      <c r="B1921" s="49"/>
      <c r="C1921" s="49"/>
      <c r="D1921" s="49"/>
      <c r="E1921" s="49"/>
    </row>
    <row r="1922" spans="1:5">
      <c r="A1922" s="49"/>
      <c r="B1922" s="49"/>
      <c r="C1922" s="49"/>
      <c r="D1922" s="49"/>
      <c r="E1922" s="49"/>
    </row>
    <row r="1923" spans="1:5">
      <c r="A1923" s="49"/>
      <c r="B1923" s="49"/>
      <c r="C1923" s="49"/>
      <c r="D1923" s="49"/>
      <c r="E1923" s="49"/>
    </row>
    <row r="1924" spans="1:5">
      <c r="A1924" s="49"/>
      <c r="B1924" s="49"/>
      <c r="C1924" s="49"/>
      <c r="D1924" s="49"/>
      <c r="E1924" s="49"/>
    </row>
    <row r="1925" spans="1:5">
      <c r="A1925" s="49"/>
      <c r="B1925" s="49"/>
      <c r="C1925" s="49"/>
      <c r="D1925" s="49"/>
      <c r="E1925" s="49"/>
    </row>
    <row r="1926" spans="1:5">
      <c r="A1926" s="49"/>
      <c r="B1926" s="49"/>
      <c r="C1926" s="49"/>
      <c r="D1926" s="49"/>
      <c r="E1926" s="49"/>
    </row>
    <row r="1927" spans="1:5">
      <c r="A1927" s="49"/>
      <c r="B1927" s="49"/>
      <c r="C1927" s="49"/>
      <c r="D1927" s="49"/>
      <c r="E1927" s="49"/>
    </row>
    <row r="1928" spans="1:5">
      <c r="A1928" s="49"/>
      <c r="B1928" s="49"/>
      <c r="C1928" s="49"/>
      <c r="D1928" s="49"/>
      <c r="E1928" s="49"/>
    </row>
    <row r="1929" spans="1:5">
      <c r="A1929" s="49"/>
      <c r="B1929" s="49"/>
      <c r="C1929" s="49"/>
      <c r="D1929" s="49"/>
      <c r="E1929" s="49"/>
    </row>
    <row r="1930" spans="1:5">
      <c r="A1930" s="49"/>
      <c r="B1930" s="49"/>
      <c r="C1930" s="49"/>
      <c r="D1930" s="49"/>
      <c r="E1930" s="49"/>
    </row>
    <row r="1931" spans="1:5">
      <c r="A1931" s="49"/>
      <c r="B1931" s="49"/>
      <c r="C1931" s="49"/>
      <c r="D1931" s="49"/>
      <c r="E1931" s="49"/>
    </row>
    <row r="1932" spans="1:5">
      <c r="A1932" s="49"/>
      <c r="B1932" s="49"/>
      <c r="C1932" s="49"/>
      <c r="D1932" s="49"/>
      <c r="E1932" s="49"/>
    </row>
    <row r="1933" spans="1:5">
      <c r="A1933" s="49"/>
      <c r="B1933" s="49"/>
      <c r="C1933" s="49"/>
      <c r="D1933" s="49"/>
      <c r="E1933" s="49"/>
    </row>
    <row r="1934" spans="1:5">
      <c r="A1934" s="49"/>
      <c r="B1934" s="49"/>
      <c r="C1934" s="49"/>
      <c r="D1934" s="49"/>
      <c r="E1934" s="49"/>
    </row>
    <row r="1935" spans="1:5">
      <c r="A1935" s="49"/>
      <c r="B1935" s="49"/>
      <c r="C1935" s="49"/>
      <c r="D1935" s="49"/>
      <c r="E1935" s="49"/>
    </row>
    <row r="1936" spans="1:5">
      <c r="A1936" s="49"/>
      <c r="B1936" s="49"/>
      <c r="C1936" s="49"/>
      <c r="D1936" s="49"/>
      <c r="E1936" s="49"/>
    </row>
    <row r="1937" spans="1:5">
      <c r="A1937" s="49"/>
      <c r="B1937" s="49"/>
      <c r="C1937" s="49"/>
      <c r="D1937" s="49"/>
      <c r="E1937" s="49"/>
    </row>
    <row r="1938" spans="1:5">
      <c r="A1938" s="49"/>
      <c r="B1938" s="49"/>
      <c r="C1938" s="49"/>
      <c r="D1938" s="49"/>
      <c r="E1938" s="49"/>
    </row>
    <row r="1939" spans="1:5">
      <c r="A1939" s="49"/>
      <c r="B1939" s="49"/>
      <c r="C1939" s="49"/>
      <c r="D1939" s="49"/>
      <c r="E1939" s="49"/>
    </row>
    <row r="1940" spans="1:5">
      <c r="A1940" s="49"/>
      <c r="B1940" s="49"/>
      <c r="C1940" s="49"/>
      <c r="D1940" s="49"/>
      <c r="E1940" s="49"/>
    </row>
    <row r="1941" spans="1:5">
      <c r="A1941" s="49"/>
      <c r="B1941" s="49"/>
      <c r="C1941" s="49"/>
      <c r="D1941" s="49"/>
      <c r="E1941" s="49"/>
    </row>
    <row r="1942" spans="1:5">
      <c r="A1942" s="49"/>
      <c r="B1942" s="49"/>
      <c r="C1942" s="49"/>
      <c r="D1942" s="49"/>
      <c r="E1942" s="49"/>
    </row>
    <row r="1943" spans="1:5">
      <c r="A1943" s="49"/>
      <c r="B1943" s="49"/>
      <c r="C1943" s="49"/>
      <c r="D1943" s="49"/>
      <c r="E1943" s="49"/>
    </row>
    <row r="1944" spans="1:5">
      <c r="A1944" s="49"/>
      <c r="B1944" s="49"/>
      <c r="C1944" s="49"/>
      <c r="D1944" s="49"/>
      <c r="E1944" s="49"/>
    </row>
    <row r="1945" spans="1:5">
      <c r="A1945" s="49"/>
      <c r="B1945" s="49"/>
      <c r="C1945" s="49"/>
      <c r="D1945" s="49"/>
      <c r="E1945" s="49"/>
    </row>
    <row r="1946" spans="1:5">
      <c r="A1946" s="49"/>
      <c r="B1946" s="49"/>
      <c r="C1946" s="49"/>
      <c r="D1946" s="49"/>
      <c r="E1946" s="49"/>
    </row>
    <row r="1947" spans="1:5">
      <c r="A1947" s="49"/>
      <c r="B1947" s="49"/>
      <c r="C1947" s="49"/>
      <c r="D1947" s="49"/>
      <c r="E1947" s="49"/>
    </row>
    <row r="1948" spans="1:5">
      <c r="A1948" s="49"/>
      <c r="B1948" s="49"/>
      <c r="C1948" s="49"/>
      <c r="D1948" s="49"/>
      <c r="E1948" s="49"/>
    </row>
    <row r="1949" spans="1:5">
      <c r="A1949" s="49"/>
      <c r="B1949" s="49"/>
      <c r="C1949" s="49"/>
      <c r="D1949" s="49"/>
      <c r="E1949" s="49"/>
    </row>
    <row r="1950" spans="1:5">
      <c r="A1950" s="49"/>
      <c r="B1950" s="49"/>
      <c r="C1950" s="49"/>
      <c r="D1950" s="49"/>
      <c r="E1950" s="49"/>
    </row>
    <row r="1951" spans="1:5">
      <c r="A1951" s="49"/>
      <c r="B1951" s="49"/>
      <c r="C1951" s="49"/>
      <c r="D1951" s="49"/>
      <c r="E1951" s="49"/>
    </row>
    <row r="1952" spans="1:5">
      <c r="A1952" s="49"/>
      <c r="B1952" s="49"/>
      <c r="C1952" s="49"/>
      <c r="D1952" s="49"/>
      <c r="E1952" s="49"/>
    </row>
    <row r="1953" spans="1:5">
      <c r="A1953" s="49"/>
      <c r="B1953" s="49"/>
      <c r="C1953" s="49"/>
      <c r="D1953" s="49"/>
      <c r="E1953" s="49"/>
    </row>
    <row r="1954" spans="1:5">
      <c r="A1954" s="49"/>
      <c r="B1954" s="49"/>
      <c r="C1954" s="49"/>
      <c r="D1954" s="49"/>
      <c r="E1954" s="49"/>
    </row>
    <row r="1955" spans="1:5">
      <c r="A1955" s="49"/>
      <c r="B1955" s="49"/>
      <c r="C1955" s="49"/>
      <c r="D1955" s="49"/>
      <c r="E1955" s="49"/>
    </row>
    <row r="1956" spans="1:5">
      <c r="A1956" s="49"/>
      <c r="B1956" s="49"/>
      <c r="C1956" s="49"/>
      <c r="D1956" s="49"/>
      <c r="E1956" s="49"/>
    </row>
    <row r="1957" spans="1:5">
      <c r="A1957" s="49"/>
      <c r="B1957" s="49"/>
      <c r="C1957" s="49"/>
      <c r="D1957" s="49"/>
      <c r="E1957" s="49"/>
    </row>
    <row r="1958" spans="1:5">
      <c r="A1958" s="49"/>
      <c r="B1958" s="49"/>
      <c r="C1958" s="49"/>
      <c r="D1958" s="49"/>
      <c r="E1958" s="49"/>
    </row>
    <row r="1959" spans="1:5">
      <c r="A1959" s="49"/>
      <c r="B1959" s="49"/>
      <c r="C1959" s="49"/>
      <c r="D1959" s="49"/>
      <c r="E1959" s="49"/>
    </row>
    <row r="1960" spans="1:5">
      <c r="A1960" s="49"/>
      <c r="B1960" s="49"/>
      <c r="C1960" s="49"/>
      <c r="D1960" s="49"/>
      <c r="E1960" s="49"/>
    </row>
    <row r="1961" spans="1:5">
      <c r="A1961" s="49"/>
      <c r="B1961" s="49"/>
      <c r="C1961" s="49"/>
      <c r="D1961" s="49"/>
      <c r="E1961" s="49"/>
    </row>
    <row r="1962" spans="1:5">
      <c r="A1962" s="49"/>
      <c r="B1962" s="49"/>
      <c r="C1962" s="49"/>
      <c r="D1962" s="49"/>
      <c r="E1962" s="49"/>
    </row>
    <row r="1963" spans="1:5">
      <c r="A1963" s="49"/>
      <c r="B1963" s="49"/>
      <c r="C1963" s="49"/>
      <c r="D1963" s="49"/>
      <c r="E1963" s="49"/>
    </row>
    <row r="1964" spans="1:5">
      <c r="A1964" s="49"/>
      <c r="B1964" s="49"/>
      <c r="C1964" s="49"/>
      <c r="D1964" s="49"/>
      <c r="E1964" s="49"/>
    </row>
    <row r="1965" spans="1:5">
      <c r="A1965" s="49"/>
      <c r="B1965" s="49"/>
      <c r="C1965" s="49"/>
      <c r="D1965" s="49"/>
      <c r="E1965" s="49"/>
    </row>
    <row r="1966" spans="1:5">
      <c r="A1966" s="49"/>
      <c r="B1966" s="49"/>
      <c r="C1966" s="49"/>
      <c r="D1966" s="49"/>
      <c r="E1966" s="49"/>
    </row>
    <row r="1967" spans="1:5">
      <c r="A1967" s="49"/>
      <c r="B1967" s="49"/>
      <c r="C1967" s="49"/>
      <c r="D1967" s="49"/>
      <c r="E1967" s="49"/>
    </row>
    <row r="1968" spans="1:5">
      <c r="A1968" s="49"/>
      <c r="B1968" s="49"/>
      <c r="C1968" s="49"/>
      <c r="D1968" s="49"/>
      <c r="E1968" s="49"/>
    </row>
    <row r="1969" spans="1:5">
      <c r="A1969" s="49"/>
      <c r="B1969" s="49"/>
      <c r="C1969" s="49"/>
      <c r="D1969" s="49"/>
      <c r="E1969" s="49"/>
    </row>
    <row r="1970" spans="1:5">
      <c r="A1970" s="49"/>
      <c r="B1970" s="49"/>
      <c r="C1970" s="49"/>
      <c r="D1970" s="49"/>
      <c r="E1970" s="49"/>
    </row>
    <row r="1971" spans="1:5">
      <c r="A1971" s="49"/>
      <c r="B1971" s="49"/>
      <c r="C1971" s="49"/>
      <c r="D1971" s="49"/>
      <c r="E1971" s="49"/>
    </row>
    <row r="1972" spans="1:5">
      <c r="A1972" s="49"/>
      <c r="B1972" s="49"/>
      <c r="C1972" s="49"/>
      <c r="D1972" s="49"/>
      <c r="E1972" s="49"/>
    </row>
    <row r="1973" spans="1:5">
      <c r="A1973" s="49"/>
      <c r="B1973" s="49"/>
      <c r="C1973" s="49"/>
      <c r="D1973" s="49"/>
      <c r="E1973" s="49"/>
    </row>
    <row r="1974" spans="1:5">
      <c r="A1974" s="49"/>
      <c r="B1974" s="49"/>
      <c r="C1974" s="49"/>
      <c r="D1974" s="49"/>
      <c r="E1974" s="49"/>
    </row>
    <row r="1975" spans="1:5">
      <c r="A1975" s="49"/>
      <c r="B1975" s="49"/>
      <c r="C1975" s="49"/>
      <c r="D1975" s="49"/>
      <c r="E1975" s="49"/>
    </row>
    <row r="1976" spans="1:5">
      <c r="A1976" s="49"/>
      <c r="B1976" s="49"/>
      <c r="C1976" s="49"/>
      <c r="D1976" s="49"/>
      <c r="E1976" s="49"/>
    </row>
    <row r="1977" spans="1:5">
      <c r="A1977" s="49"/>
      <c r="B1977" s="49"/>
      <c r="C1977" s="49"/>
      <c r="D1977" s="49"/>
      <c r="E1977" s="49"/>
    </row>
    <row r="1978" spans="1:5">
      <c r="A1978" s="49"/>
      <c r="B1978" s="49"/>
      <c r="C1978" s="49"/>
      <c r="D1978" s="49"/>
      <c r="E1978" s="49"/>
    </row>
    <row r="1979" spans="1:5">
      <c r="A1979" s="49"/>
      <c r="B1979" s="49"/>
      <c r="C1979" s="49"/>
      <c r="D1979" s="49"/>
      <c r="E1979" s="49"/>
    </row>
    <row r="1980" spans="1:5">
      <c r="A1980" s="49"/>
      <c r="B1980" s="49"/>
      <c r="C1980" s="49"/>
      <c r="D1980" s="49"/>
      <c r="E1980" s="49"/>
    </row>
    <row r="1981" spans="1:5">
      <c r="A1981" s="49"/>
      <c r="B1981" s="49"/>
      <c r="C1981" s="49"/>
      <c r="D1981" s="49"/>
      <c r="E1981" s="49"/>
    </row>
    <row r="1982" spans="1:5">
      <c r="A1982" s="49"/>
      <c r="B1982" s="49"/>
      <c r="C1982" s="49"/>
      <c r="D1982" s="49"/>
      <c r="E1982" s="49"/>
    </row>
    <row r="1983" spans="1:5">
      <c r="A1983" s="49"/>
      <c r="B1983" s="49"/>
      <c r="C1983" s="49"/>
      <c r="D1983" s="49"/>
      <c r="E1983" s="49"/>
    </row>
    <row r="1984" spans="1:5">
      <c r="A1984" s="49"/>
      <c r="B1984" s="49"/>
      <c r="C1984" s="49"/>
      <c r="D1984" s="49"/>
      <c r="E1984" s="49"/>
    </row>
    <row r="1985" spans="1:5">
      <c r="A1985" s="49"/>
      <c r="B1985" s="49"/>
      <c r="C1985" s="49"/>
      <c r="D1985" s="49"/>
      <c r="E1985" s="49"/>
    </row>
    <row r="1986" spans="1:5">
      <c r="A1986" s="49"/>
      <c r="B1986" s="49"/>
      <c r="C1986" s="49"/>
      <c r="D1986" s="49"/>
      <c r="E1986" s="49"/>
    </row>
    <row r="1987" spans="1:5">
      <c r="A1987" s="49"/>
      <c r="B1987" s="49"/>
      <c r="C1987" s="49"/>
      <c r="D1987" s="49"/>
      <c r="E1987" s="49"/>
    </row>
    <row r="1988" spans="1:5">
      <c r="A1988" s="49"/>
      <c r="B1988" s="49"/>
      <c r="C1988" s="49"/>
      <c r="D1988" s="49"/>
      <c r="E1988" s="49"/>
    </row>
    <row r="1989" spans="1:5">
      <c r="A1989" s="49"/>
      <c r="B1989" s="49"/>
      <c r="C1989" s="49"/>
      <c r="D1989" s="49"/>
      <c r="E1989" s="49"/>
    </row>
    <row r="1990" spans="1:5">
      <c r="A1990" s="49"/>
      <c r="B1990" s="49"/>
      <c r="C1990" s="49"/>
      <c r="D1990" s="49"/>
      <c r="E1990" s="49"/>
    </row>
    <row r="1991" spans="1:5">
      <c r="A1991" s="49"/>
      <c r="B1991" s="49"/>
      <c r="C1991" s="49"/>
      <c r="D1991" s="49"/>
      <c r="E1991" s="49"/>
    </row>
    <row r="1992" spans="1:5">
      <c r="A1992" s="49"/>
      <c r="B1992" s="49"/>
      <c r="C1992" s="49"/>
      <c r="D1992" s="49"/>
      <c r="E1992" s="49"/>
    </row>
    <row r="1993" spans="1:5">
      <c r="A1993" s="49"/>
      <c r="B1993" s="49"/>
      <c r="C1993" s="49"/>
      <c r="D1993" s="49"/>
      <c r="E1993" s="49"/>
    </row>
    <row r="1994" spans="1:5">
      <c r="A1994" s="49"/>
      <c r="B1994" s="49"/>
      <c r="C1994" s="49"/>
      <c r="D1994" s="49"/>
      <c r="E1994" s="49"/>
    </row>
    <row r="1995" spans="1:5">
      <c r="A1995" s="49"/>
      <c r="B1995" s="49"/>
      <c r="C1995" s="49"/>
      <c r="D1995" s="49"/>
      <c r="E1995" s="49"/>
    </row>
    <row r="1996" spans="1:5">
      <c r="A1996" s="49"/>
      <c r="B1996" s="49"/>
      <c r="C1996" s="49"/>
      <c r="D1996" s="49"/>
      <c r="E1996" s="49"/>
    </row>
    <row r="1997" spans="1:5">
      <c r="A1997" s="49"/>
      <c r="B1997" s="49"/>
      <c r="C1997" s="49"/>
      <c r="D1997" s="49"/>
      <c r="E1997" s="49"/>
    </row>
    <row r="1998" spans="1:5">
      <c r="A1998" s="49"/>
      <c r="B1998" s="49"/>
      <c r="C1998" s="49"/>
      <c r="D1998" s="49"/>
      <c r="E1998" s="49"/>
    </row>
    <row r="1999" spans="1:5">
      <c r="A1999" s="49"/>
      <c r="B1999" s="49"/>
      <c r="C1999" s="49"/>
      <c r="D1999" s="49"/>
      <c r="E1999" s="49"/>
    </row>
    <row r="2000" spans="1:5">
      <c r="A2000" s="49"/>
      <c r="B2000" s="49"/>
      <c r="C2000" s="49"/>
      <c r="D2000" s="49"/>
      <c r="E2000" s="49"/>
    </row>
    <row r="2001" spans="1:5">
      <c r="A2001" s="49"/>
      <c r="B2001" s="49"/>
      <c r="C2001" s="49"/>
      <c r="D2001" s="49"/>
      <c r="E2001" s="49"/>
    </row>
    <row r="2002" spans="1:5">
      <c r="A2002" s="49"/>
      <c r="B2002" s="49"/>
      <c r="C2002" s="49"/>
      <c r="D2002" s="49"/>
      <c r="E2002" s="49"/>
    </row>
    <row r="2003" spans="1:5">
      <c r="A2003" s="49"/>
      <c r="B2003" s="49"/>
      <c r="C2003" s="49"/>
      <c r="D2003" s="49"/>
      <c r="E2003" s="49"/>
    </row>
    <row r="2004" spans="1:5">
      <c r="A2004" s="49"/>
      <c r="B2004" s="49"/>
      <c r="C2004" s="49"/>
      <c r="D2004" s="49"/>
      <c r="E2004" s="49"/>
    </row>
    <row r="2005" spans="1:5">
      <c r="A2005" s="49"/>
      <c r="B2005" s="49"/>
      <c r="C2005" s="49"/>
      <c r="D2005" s="49"/>
      <c r="E2005" s="49"/>
    </row>
    <row r="2006" spans="1:5">
      <c r="A2006" s="49"/>
      <c r="B2006" s="49"/>
      <c r="C2006" s="49"/>
      <c r="D2006" s="49"/>
      <c r="E2006" s="49"/>
    </row>
    <row r="2007" spans="1:5">
      <c r="A2007" s="49"/>
      <c r="B2007" s="49"/>
      <c r="C2007" s="49"/>
      <c r="D2007" s="49"/>
      <c r="E2007" s="49"/>
    </row>
    <row r="2008" spans="1:5">
      <c r="A2008" s="49"/>
      <c r="B2008" s="49"/>
      <c r="C2008" s="49"/>
      <c r="D2008" s="49"/>
      <c r="E2008" s="49"/>
    </row>
    <row r="2009" spans="1:5">
      <c r="A2009" s="49"/>
      <c r="B2009" s="49"/>
      <c r="C2009" s="49"/>
      <c r="D2009" s="49"/>
      <c r="E2009" s="49"/>
    </row>
    <row r="2010" spans="1:5">
      <c r="A2010" s="49"/>
      <c r="B2010" s="49"/>
      <c r="C2010" s="49"/>
      <c r="D2010" s="49"/>
      <c r="E2010" s="49"/>
    </row>
    <row r="2011" spans="1:5">
      <c r="A2011" s="49"/>
      <c r="B2011" s="49"/>
      <c r="C2011" s="49"/>
      <c r="D2011" s="49"/>
      <c r="E2011" s="49"/>
    </row>
    <row r="2012" spans="1:5">
      <c r="A2012" s="49"/>
      <c r="B2012" s="49"/>
      <c r="C2012" s="49"/>
      <c r="D2012" s="49"/>
      <c r="E2012" s="49"/>
    </row>
    <row r="2013" spans="1:5">
      <c r="A2013" s="49"/>
      <c r="B2013" s="49"/>
      <c r="C2013" s="49"/>
      <c r="D2013" s="49"/>
      <c r="E2013" s="49"/>
    </row>
    <row r="2014" spans="1:5">
      <c r="A2014" s="49"/>
      <c r="B2014" s="49"/>
      <c r="C2014" s="49"/>
      <c r="D2014" s="49"/>
      <c r="E2014" s="49"/>
    </row>
    <row r="2015" spans="1:5">
      <c r="A2015" s="49"/>
      <c r="B2015" s="49"/>
      <c r="C2015" s="49"/>
      <c r="D2015" s="49"/>
      <c r="E2015" s="49"/>
    </row>
    <row r="2016" spans="1:5">
      <c r="A2016" s="49"/>
      <c r="B2016" s="49"/>
      <c r="C2016" s="49"/>
      <c r="D2016" s="49"/>
      <c r="E2016" s="49"/>
    </row>
    <row r="2017" spans="1:5">
      <c r="A2017" s="49"/>
      <c r="B2017" s="49"/>
      <c r="C2017" s="49"/>
      <c r="D2017" s="49"/>
      <c r="E2017" s="49"/>
    </row>
    <row r="2018" spans="1:5">
      <c r="A2018" s="49"/>
      <c r="B2018" s="49"/>
      <c r="C2018" s="49"/>
      <c r="D2018" s="49"/>
      <c r="E2018" s="49"/>
    </row>
    <row r="2019" spans="1:5">
      <c r="A2019" s="49"/>
      <c r="B2019" s="49"/>
      <c r="C2019" s="49"/>
      <c r="D2019" s="49"/>
      <c r="E2019" s="49"/>
    </row>
    <row r="2020" spans="1:5">
      <c r="A2020" s="49"/>
      <c r="B2020" s="49"/>
      <c r="C2020" s="49"/>
      <c r="D2020" s="49"/>
      <c r="E2020" s="49"/>
    </row>
    <row r="2021" spans="1:5">
      <c r="A2021" s="49"/>
      <c r="B2021" s="49"/>
      <c r="C2021" s="49"/>
      <c r="D2021" s="49"/>
      <c r="E2021" s="49"/>
    </row>
    <row r="2022" spans="1:5">
      <c r="A2022" s="49"/>
      <c r="B2022" s="49"/>
      <c r="C2022" s="49"/>
      <c r="D2022" s="49"/>
      <c r="E2022" s="49"/>
    </row>
    <row r="2023" spans="1:5">
      <c r="A2023" s="49"/>
      <c r="B2023" s="49"/>
      <c r="C2023" s="49"/>
      <c r="D2023" s="49"/>
      <c r="E2023" s="49"/>
    </row>
    <row r="2024" spans="1:5">
      <c r="A2024" s="49"/>
      <c r="B2024" s="49"/>
      <c r="C2024" s="49"/>
      <c r="D2024" s="49"/>
      <c r="E2024" s="49"/>
    </row>
    <row r="2025" spans="1:5">
      <c r="A2025" s="49"/>
      <c r="B2025" s="49"/>
      <c r="C2025" s="49"/>
      <c r="D2025" s="49"/>
      <c r="E2025" s="49"/>
    </row>
    <row r="2026" spans="1:5">
      <c r="A2026" s="49"/>
      <c r="B2026" s="49"/>
      <c r="C2026" s="49"/>
      <c r="D2026" s="49"/>
      <c r="E2026" s="49"/>
    </row>
    <row r="2027" spans="1:5">
      <c r="A2027" s="49"/>
      <c r="B2027" s="49"/>
      <c r="C2027" s="49"/>
      <c r="D2027" s="49"/>
      <c r="E2027" s="49"/>
    </row>
    <row r="2028" spans="1:5">
      <c r="A2028" s="49"/>
      <c r="B2028" s="49"/>
      <c r="C2028" s="49"/>
      <c r="D2028" s="49"/>
      <c r="E2028" s="49"/>
    </row>
    <row r="2029" spans="1:5">
      <c r="A2029" s="49"/>
      <c r="B2029" s="49"/>
      <c r="C2029" s="49"/>
      <c r="D2029" s="49"/>
      <c r="E2029" s="49"/>
    </row>
    <row r="2030" spans="1:5">
      <c r="A2030" s="49"/>
      <c r="B2030" s="49"/>
      <c r="C2030" s="49"/>
      <c r="D2030" s="49"/>
      <c r="E2030" s="49"/>
    </row>
    <row r="2031" spans="1:5">
      <c r="A2031" s="49"/>
      <c r="B2031" s="49"/>
      <c r="C2031" s="49"/>
      <c r="D2031" s="49"/>
      <c r="E2031" s="49"/>
    </row>
    <row r="2032" spans="1:5">
      <c r="A2032" s="49"/>
      <c r="B2032" s="49"/>
      <c r="C2032" s="49"/>
      <c r="D2032" s="49"/>
      <c r="E2032" s="49"/>
    </row>
    <row r="2033" spans="1:5">
      <c r="A2033" s="49"/>
      <c r="B2033" s="49"/>
      <c r="C2033" s="49"/>
      <c r="D2033" s="49"/>
      <c r="E2033" s="49"/>
    </row>
    <row r="2034" spans="1:5">
      <c r="A2034" s="49"/>
      <c r="B2034" s="49"/>
      <c r="C2034" s="49"/>
      <c r="D2034" s="49"/>
      <c r="E2034" s="49"/>
    </row>
    <row r="2035" spans="1:5">
      <c r="A2035" s="49"/>
      <c r="B2035" s="49"/>
      <c r="C2035" s="49"/>
      <c r="D2035" s="49"/>
      <c r="E2035" s="49"/>
    </row>
    <row r="2036" spans="1:5">
      <c r="A2036" s="49"/>
      <c r="B2036" s="49"/>
      <c r="C2036" s="49"/>
      <c r="D2036" s="49"/>
      <c r="E2036" s="49"/>
    </row>
    <row r="2037" spans="1:5">
      <c r="A2037" s="49"/>
      <c r="B2037" s="49"/>
      <c r="C2037" s="49"/>
      <c r="D2037" s="49"/>
      <c r="E2037" s="49"/>
    </row>
    <row r="2038" spans="1:5">
      <c r="A2038" s="49"/>
      <c r="B2038" s="49"/>
      <c r="C2038" s="49"/>
      <c r="D2038" s="49"/>
      <c r="E2038" s="49"/>
    </row>
    <row r="2039" spans="1:5">
      <c r="A2039" s="49"/>
      <c r="B2039" s="49"/>
      <c r="C2039" s="49"/>
      <c r="D2039" s="49"/>
      <c r="E2039" s="49"/>
    </row>
    <row r="2040" spans="1:5">
      <c r="A2040" s="49"/>
      <c r="B2040" s="49"/>
      <c r="C2040" s="49"/>
      <c r="D2040" s="49"/>
      <c r="E2040" s="49"/>
    </row>
    <row r="2041" spans="1:5">
      <c r="A2041" s="49"/>
      <c r="B2041" s="49"/>
      <c r="C2041" s="49"/>
      <c r="D2041" s="49"/>
      <c r="E2041" s="49"/>
    </row>
    <row r="2042" spans="1:5">
      <c r="A2042" s="49"/>
      <c r="B2042" s="49"/>
      <c r="C2042" s="49"/>
      <c r="D2042" s="49"/>
      <c r="E2042" s="49"/>
    </row>
    <row r="2043" spans="1:5">
      <c r="A2043" s="49"/>
      <c r="B2043" s="49"/>
      <c r="C2043" s="49"/>
      <c r="D2043" s="49"/>
      <c r="E2043" s="49"/>
    </row>
    <row r="2044" spans="1:5">
      <c r="A2044" s="49"/>
      <c r="B2044" s="49"/>
      <c r="C2044" s="49"/>
      <c r="D2044" s="49"/>
      <c r="E2044" s="49"/>
    </row>
    <row r="2045" spans="1:5">
      <c r="A2045" s="49"/>
      <c r="B2045" s="49"/>
      <c r="C2045" s="49"/>
      <c r="D2045" s="49"/>
      <c r="E2045" s="49"/>
    </row>
    <row r="2046" spans="1:5">
      <c r="A2046" s="49"/>
      <c r="B2046" s="49"/>
      <c r="C2046" s="49"/>
      <c r="D2046" s="49"/>
      <c r="E2046" s="49"/>
    </row>
    <row r="2047" spans="1:5">
      <c r="A2047" s="49"/>
      <c r="B2047" s="49"/>
      <c r="C2047" s="49"/>
      <c r="D2047" s="49"/>
      <c r="E2047" s="49"/>
    </row>
    <row r="2048" spans="1:5">
      <c r="A2048" s="49"/>
      <c r="B2048" s="49"/>
      <c r="C2048" s="49"/>
      <c r="D2048" s="49"/>
      <c r="E2048" s="49"/>
    </row>
    <row r="2049" spans="1:5">
      <c r="A2049" s="49"/>
      <c r="B2049" s="49"/>
      <c r="C2049" s="49"/>
      <c r="D2049" s="49"/>
      <c r="E2049" s="49"/>
    </row>
    <row r="2050" spans="1:5">
      <c r="A2050" s="49"/>
      <c r="B2050" s="49"/>
      <c r="C2050" s="49"/>
      <c r="D2050" s="49"/>
      <c r="E2050" s="49"/>
    </row>
    <row r="2051" spans="1:5">
      <c r="A2051" s="49"/>
      <c r="B2051" s="49"/>
      <c r="C2051" s="49"/>
      <c r="D2051" s="49"/>
      <c r="E2051" s="49"/>
    </row>
    <row r="2052" spans="1:5">
      <c r="A2052" s="49"/>
      <c r="B2052" s="49"/>
      <c r="C2052" s="49"/>
      <c r="D2052" s="49"/>
      <c r="E2052" s="49"/>
    </row>
    <row r="2053" spans="1:5">
      <c r="A2053" s="49"/>
      <c r="B2053" s="49"/>
      <c r="C2053" s="49"/>
      <c r="D2053" s="49"/>
      <c r="E2053" s="49"/>
    </row>
    <row r="2054" spans="1:5">
      <c r="A2054" s="49"/>
      <c r="B2054" s="49"/>
      <c r="C2054" s="49"/>
      <c r="D2054" s="49"/>
      <c r="E2054" s="49"/>
    </row>
    <row r="2055" spans="1:5">
      <c r="A2055" s="49"/>
      <c r="B2055" s="49"/>
      <c r="C2055" s="49"/>
      <c r="D2055" s="49"/>
      <c r="E2055" s="49"/>
    </row>
    <row r="2056" spans="1:5">
      <c r="A2056" s="49"/>
      <c r="B2056" s="49"/>
      <c r="C2056" s="49"/>
      <c r="D2056" s="49"/>
      <c r="E2056" s="49"/>
    </row>
    <row r="2057" spans="1:5">
      <c r="A2057" s="49"/>
      <c r="B2057" s="49"/>
      <c r="C2057" s="49"/>
      <c r="D2057" s="49"/>
      <c r="E2057" s="49"/>
    </row>
    <row r="2058" spans="1:5">
      <c r="A2058" s="49"/>
      <c r="B2058" s="49"/>
      <c r="C2058" s="49"/>
      <c r="D2058" s="49"/>
      <c r="E2058" s="49"/>
    </row>
    <row r="2059" spans="1:5">
      <c r="A2059" s="49"/>
      <c r="B2059" s="49"/>
      <c r="C2059" s="49"/>
      <c r="D2059" s="49"/>
      <c r="E2059" s="49"/>
    </row>
    <row r="2060" spans="1:5">
      <c r="A2060" s="49"/>
      <c r="B2060" s="49"/>
      <c r="C2060" s="49"/>
      <c r="D2060" s="49"/>
      <c r="E2060" s="49"/>
    </row>
    <row r="2061" spans="1:5">
      <c r="A2061" s="49"/>
      <c r="B2061" s="49"/>
      <c r="C2061" s="49"/>
      <c r="D2061" s="49"/>
      <c r="E2061" s="49"/>
    </row>
    <row r="2062" spans="1:5">
      <c r="A2062" s="49"/>
      <c r="B2062" s="49"/>
      <c r="C2062" s="49"/>
      <c r="D2062" s="49"/>
      <c r="E2062" s="49"/>
    </row>
    <row r="2063" spans="1:5">
      <c r="A2063" s="49"/>
      <c r="B2063" s="49"/>
      <c r="C2063" s="49"/>
      <c r="D2063" s="49"/>
      <c r="E2063" s="49"/>
    </row>
    <row r="2064" spans="1:5">
      <c r="A2064" s="49"/>
      <c r="B2064" s="49"/>
      <c r="C2064" s="49"/>
      <c r="D2064" s="49"/>
      <c r="E2064" s="49"/>
    </row>
    <row r="2065" spans="1:5">
      <c r="A2065" s="49"/>
      <c r="B2065" s="49"/>
      <c r="C2065" s="49"/>
      <c r="D2065" s="49"/>
      <c r="E2065" s="49"/>
    </row>
    <row r="2066" spans="1:5">
      <c r="A2066" s="49"/>
      <c r="B2066" s="49"/>
      <c r="C2066" s="49"/>
      <c r="D2066" s="49"/>
      <c r="E2066" s="49"/>
    </row>
    <row r="2067" spans="1:5">
      <c r="A2067" s="49"/>
      <c r="B2067" s="49"/>
      <c r="C2067" s="49"/>
      <c r="D2067" s="49"/>
      <c r="E2067" s="49"/>
    </row>
    <row r="2068" spans="1:5">
      <c r="A2068" s="49"/>
      <c r="B2068" s="49"/>
      <c r="C2068" s="49"/>
      <c r="D2068" s="49"/>
      <c r="E2068" s="49"/>
    </row>
    <row r="2069" spans="1:5">
      <c r="A2069" s="49"/>
      <c r="B2069" s="49"/>
      <c r="C2069" s="49"/>
      <c r="D2069" s="49"/>
      <c r="E2069" s="49"/>
    </row>
    <row r="2070" spans="1:5">
      <c r="A2070" s="49"/>
      <c r="B2070" s="49"/>
      <c r="C2070" s="49"/>
      <c r="D2070" s="49"/>
      <c r="E2070" s="49"/>
    </row>
    <row r="2071" spans="1:5">
      <c r="A2071" s="49"/>
      <c r="B2071" s="49"/>
      <c r="C2071" s="49"/>
      <c r="D2071" s="49"/>
      <c r="E2071" s="49"/>
    </row>
    <row r="2072" spans="1:5">
      <c r="A2072" s="49"/>
      <c r="B2072" s="49"/>
      <c r="C2072" s="49"/>
      <c r="D2072" s="49"/>
      <c r="E2072" s="49"/>
    </row>
    <row r="2073" spans="1:5">
      <c r="A2073" s="49"/>
      <c r="B2073" s="49"/>
      <c r="C2073" s="49"/>
      <c r="D2073" s="49"/>
      <c r="E2073" s="49"/>
    </row>
    <row r="2074" spans="1:5">
      <c r="A2074" s="49"/>
      <c r="B2074" s="49"/>
      <c r="C2074" s="49"/>
      <c r="D2074" s="49"/>
      <c r="E2074" s="49"/>
    </row>
    <row r="2075" spans="1:5">
      <c r="A2075" s="49"/>
      <c r="B2075" s="49"/>
      <c r="C2075" s="49"/>
      <c r="D2075" s="49"/>
      <c r="E2075" s="49"/>
    </row>
    <row r="2076" spans="1:5">
      <c r="A2076" s="49"/>
      <c r="B2076" s="49"/>
      <c r="C2076" s="49"/>
      <c r="D2076" s="49"/>
      <c r="E2076" s="49"/>
    </row>
    <row r="2077" spans="1:5">
      <c r="A2077" s="49"/>
      <c r="B2077" s="49"/>
      <c r="C2077" s="49"/>
      <c r="D2077" s="49"/>
      <c r="E2077" s="49"/>
    </row>
    <row r="2078" spans="1:5">
      <c r="A2078" s="49"/>
      <c r="B2078" s="49"/>
      <c r="C2078" s="49"/>
      <c r="D2078" s="49"/>
      <c r="E2078" s="49"/>
    </row>
    <row r="2079" spans="1:5">
      <c r="A2079" s="49"/>
      <c r="B2079" s="49"/>
      <c r="C2079" s="49"/>
      <c r="D2079" s="49"/>
      <c r="E2079" s="49"/>
    </row>
    <row r="2080" spans="1:5">
      <c r="A2080" s="49"/>
      <c r="B2080" s="49"/>
      <c r="C2080" s="49"/>
      <c r="D2080" s="49"/>
      <c r="E2080" s="49"/>
    </row>
    <row r="2081" spans="1:5">
      <c r="A2081" s="49"/>
      <c r="B2081" s="49"/>
      <c r="C2081" s="49"/>
      <c r="D2081" s="49"/>
      <c r="E2081" s="49"/>
    </row>
    <row r="2082" spans="1:5">
      <c r="A2082" s="49"/>
      <c r="B2082" s="49"/>
      <c r="C2082" s="49"/>
      <c r="D2082" s="49"/>
      <c r="E2082" s="49"/>
    </row>
    <row r="2083" spans="1:5">
      <c r="A2083" s="49"/>
      <c r="B2083" s="49"/>
      <c r="C2083" s="49"/>
      <c r="D2083" s="49"/>
      <c r="E2083" s="49"/>
    </row>
    <row r="2084" spans="1:5">
      <c r="A2084" s="49"/>
      <c r="B2084" s="49"/>
      <c r="C2084" s="49"/>
      <c r="D2084" s="49"/>
      <c r="E2084" s="49"/>
    </row>
    <row r="2085" spans="1:5">
      <c r="A2085" s="49"/>
      <c r="B2085" s="49"/>
      <c r="C2085" s="49"/>
      <c r="D2085" s="49"/>
      <c r="E2085" s="49"/>
    </row>
    <row r="2086" spans="1:5">
      <c r="A2086" s="49"/>
      <c r="B2086" s="49"/>
      <c r="C2086" s="49"/>
      <c r="D2086" s="49"/>
      <c r="E2086" s="49"/>
    </row>
    <row r="2087" spans="1:5">
      <c r="A2087" s="49"/>
      <c r="B2087" s="49"/>
      <c r="C2087" s="49"/>
      <c r="D2087" s="49"/>
      <c r="E2087" s="49"/>
    </row>
    <row r="2088" spans="1:5">
      <c r="A2088" s="49"/>
      <c r="B2088" s="49"/>
      <c r="C2088" s="49"/>
      <c r="D2088" s="49"/>
      <c r="E2088" s="49"/>
    </row>
    <row r="2089" spans="1:5">
      <c r="A2089" s="49"/>
      <c r="B2089" s="49"/>
      <c r="C2089" s="49"/>
      <c r="D2089" s="49"/>
      <c r="E2089" s="49"/>
    </row>
    <row r="2090" spans="1:5">
      <c r="A2090" s="49"/>
      <c r="B2090" s="49"/>
      <c r="C2090" s="49"/>
      <c r="D2090" s="49"/>
      <c r="E2090" s="49"/>
    </row>
    <row r="2091" spans="1:5">
      <c r="A2091" s="49"/>
      <c r="B2091" s="49"/>
      <c r="C2091" s="49"/>
      <c r="D2091" s="49"/>
      <c r="E2091" s="49"/>
    </row>
    <row r="2092" spans="1:5">
      <c r="A2092" s="49"/>
      <c r="B2092" s="49"/>
      <c r="C2092" s="49"/>
      <c r="D2092" s="49"/>
      <c r="E2092" s="49"/>
    </row>
    <row r="2093" spans="1:5">
      <c r="A2093" s="49"/>
      <c r="B2093" s="49"/>
      <c r="C2093" s="49"/>
      <c r="D2093" s="49"/>
      <c r="E2093" s="49"/>
    </row>
    <row r="2094" spans="1:5">
      <c r="A2094" s="49"/>
      <c r="B2094" s="49"/>
      <c r="C2094" s="49"/>
      <c r="D2094" s="49"/>
      <c r="E2094" s="49"/>
    </row>
    <row r="2095" spans="1:5">
      <c r="A2095" s="49"/>
      <c r="B2095" s="49"/>
      <c r="C2095" s="49"/>
      <c r="D2095" s="49"/>
      <c r="E2095" s="49"/>
    </row>
    <row r="2096" spans="1:5">
      <c r="A2096" s="49"/>
      <c r="B2096" s="49"/>
      <c r="C2096" s="49"/>
      <c r="D2096" s="49"/>
      <c r="E2096" s="49"/>
    </row>
    <row r="2097" spans="1:5">
      <c r="A2097" s="49"/>
      <c r="B2097" s="49"/>
      <c r="C2097" s="49"/>
      <c r="D2097" s="49"/>
      <c r="E2097" s="49"/>
    </row>
    <row r="2098" spans="1:5">
      <c r="A2098" s="49"/>
      <c r="B2098" s="49"/>
      <c r="C2098" s="49"/>
      <c r="D2098" s="49"/>
      <c r="E2098" s="49"/>
    </row>
    <row r="2099" spans="1:5">
      <c r="A2099" s="49"/>
      <c r="B2099" s="49"/>
      <c r="C2099" s="49"/>
      <c r="D2099" s="49"/>
      <c r="E2099" s="49"/>
    </row>
    <row r="2100" spans="1:5">
      <c r="A2100" s="49"/>
      <c r="B2100" s="49"/>
      <c r="C2100" s="49"/>
      <c r="D2100" s="49"/>
      <c r="E2100" s="49"/>
    </row>
    <row r="2101" spans="1:5">
      <c r="A2101" s="49"/>
      <c r="B2101" s="49"/>
      <c r="C2101" s="49"/>
      <c r="D2101" s="49"/>
      <c r="E2101" s="49"/>
    </row>
    <row r="2102" spans="1:5">
      <c r="A2102" s="49"/>
      <c r="B2102" s="49"/>
      <c r="C2102" s="49"/>
      <c r="D2102" s="49"/>
      <c r="E2102" s="49"/>
    </row>
    <row r="2103" spans="1:5">
      <c r="A2103" s="49"/>
      <c r="B2103" s="49"/>
      <c r="C2103" s="49"/>
      <c r="D2103" s="49"/>
      <c r="E2103" s="49"/>
    </row>
    <row r="2104" spans="1:5">
      <c r="A2104" s="49"/>
      <c r="B2104" s="49"/>
      <c r="C2104" s="49"/>
      <c r="D2104" s="49"/>
      <c r="E2104" s="49"/>
    </row>
    <row r="2105" spans="1:5">
      <c r="A2105" s="49"/>
      <c r="B2105" s="49"/>
      <c r="C2105" s="49"/>
      <c r="D2105" s="49"/>
      <c r="E2105" s="49"/>
    </row>
    <row r="2106" spans="1:5">
      <c r="A2106" s="49"/>
      <c r="B2106" s="49"/>
      <c r="C2106" s="49"/>
      <c r="D2106" s="49"/>
      <c r="E2106" s="49"/>
    </row>
    <row r="2107" spans="1:5">
      <c r="A2107" s="49"/>
      <c r="B2107" s="49"/>
      <c r="C2107" s="49"/>
      <c r="D2107" s="49"/>
      <c r="E2107" s="49"/>
    </row>
    <row r="2108" spans="1:5">
      <c r="A2108" s="49"/>
      <c r="B2108" s="49"/>
      <c r="C2108" s="49"/>
      <c r="D2108" s="49"/>
      <c r="E2108" s="49"/>
    </row>
    <row r="2109" spans="1:5">
      <c r="A2109" s="49"/>
      <c r="B2109" s="49"/>
      <c r="C2109" s="49"/>
      <c r="D2109" s="49"/>
      <c r="E2109" s="49"/>
    </row>
    <row r="2110" spans="1:5">
      <c r="A2110" s="49"/>
      <c r="B2110" s="49"/>
      <c r="C2110" s="49"/>
      <c r="D2110" s="49"/>
      <c r="E2110" s="49"/>
    </row>
    <row r="2111" spans="1:5">
      <c r="A2111" s="49"/>
      <c r="B2111" s="49"/>
      <c r="C2111" s="49"/>
      <c r="D2111" s="49"/>
      <c r="E2111" s="49"/>
    </row>
    <row r="2112" spans="1:5">
      <c r="A2112" s="49"/>
      <c r="B2112" s="49"/>
      <c r="C2112" s="49"/>
      <c r="D2112" s="49"/>
      <c r="E2112" s="49"/>
    </row>
    <row r="2113" spans="1:5">
      <c r="A2113" s="49"/>
      <c r="B2113" s="49"/>
      <c r="C2113" s="49"/>
      <c r="D2113" s="49"/>
      <c r="E2113" s="49"/>
    </row>
    <row r="2114" spans="1:5">
      <c r="A2114" s="49"/>
      <c r="B2114" s="49"/>
      <c r="C2114" s="49"/>
      <c r="D2114" s="49"/>
      <c r="E2114" s="49"/>
    </row>
    <row r="2115" spans="1:5">
      <c r="A2115" s="49"/>
      <c r="B2115" s="49"/>
      <c r="C2115" s="49"/>
      <c r="D2115" s="49"/>
      <c r="E2115" s="49"/>
    </row>
    <row r="2116" spans="1:5">
      <c r="A2116" s="49"/>
      <c r="B2116" s="49"/>
      <c r="C2116" s="49"/>
      <c r="D2116" s="49"/>
      <c r="E2116" s="49"/>
    </row>
    <row r="2117" spans="1:5">
      <c r="A2117" s="49"/>
      <c r="B2117" s="49"/>
      <c r="C2117" s="49"/>
      <c r="D2117" s="49"/>
      <c r="E2117" s="49"/>
    </row>
    <row r="2118" spans="1:5">
      <c r="A2118" s="49"/>
      <c r="B2118" s="49"/>
      <c r="C2118" s="49"/>
      <c r="D2118" s="49"/>
      <c r="E2118" s="49"/>
    </row>
    <row r="2119" spans="1:5">
      <c r="A2119" s="49"/>
      <c r="B2119" s="49"/>
      <c r="C2119" s="49"/>
      <c r="D2119" s="49"/>
      <c r="E2119" s="49"/>
    </row>
    <row r="2120" spans="1:5">
      <c r="A2120" s="49"/>
      <c r="B2120" s="49"/>
      <c r="C2120" s="49"/>
      <c r="D2120" s="49"/>
      <c r="E2120" s="49"/>
    </row>
    <row r="2121" spans="1:5">
      <c r="A2121" s="49"/>
      <c r="B2121" s="49"/>
      <c r="C2121" s="49"/>
      <c r="D2121" s="49"/>
      <c r="E2121" s="49"/>
    </row>
    <row r="2122" spans="1:5">
      <c r="A2122" s="49"/>
      <c r="B2122" s="49"/>
      <c r="C2122" s="49"/>
      <c r="D2122" s="49"/>
      <c r="E2122" s="49"/>
    </row>
    <row r="2123" spans="1:5">
      <c r="A2123" s="49"/>
      <c r="B2123" s="49"/>
      <c r="C2123" s="49"/>
      <c r="D2123" s="49"/>
      <c r="E2123" s="49"/>
    </row>
    <row r="2124" spans="1:5">
      <c r="A2124" s="49"/>
      <c r="B2124" s="49"/>
      <c r="C2124" s="49"/>
      <c r="D2124" s="49"/>
      <c r="E2124" s="49"/>
    </row>
    <row r="2125" spans="1:5">
      <c r="A2125" s="49"/>
      <c r="B2125" s="49"/>
      <c r="C2125" s="49"/>
      <c r="D2125" s="49"/>
      <c r="E2125" s="49"/>
    </row>
    <row r="2126" spans="1:5">
      <c r="A2126" s="49"/>
      <c r="B2126" s="49"/>
      <c r="C2126" s="49"/>
      <c r="D2126" s="49"/>
      <c r="E2126" s="49"/>
    </row>
    <row r="2127" spans="1:5">
      <c r="A2127" s="49"/>
      <c r="B2127" s="49"/>
      <c r="C2127" s="49"/>
      <c r="D2127" s="49"/>
      <c r="E2127" s="49"/>
    </row>
    <row r="2128" spans="1:5">
      <c r="A2128" s="49"/>
      <c r="B2128" s="49"/>
      <c r="C2128" s="49"/>
      <c r="D2128" s="49"/>
      <c r="E2128" s="49"/>
    </row>
    <row r="2129" spans="1:5">
      <c r="A2129" s="49"/>
      <c r="B2129" s="49"/>
      <c r="C2129" s="49"/>
      <c r="D2129" s="49"/>
      <c r="E2129" s="49"/>
    </row>
    <row r="2130" spans="1:5">
      <c r="A2130" s="49"/>
      <c r="B2130" s="49"/>
      <c r="C2130" s="49"/>
      <c r="D2130" s="49"/>
      <c r="E2130" s="49"/>
    </row>
    <row r="2131" spans="1:5">
      <c r="A2131" s="49"/>
      <c r="B2131" s="49"/>
      <c r="C2131" s="49"/>
      <c r="D2131" s="49"/>
      <c r="E2131" s="49"/>
    </row>
    <row r="2132" spans="1:5">
      <c r="A2132" s="49"/>
      <c r="B2132" s="49"/>
      <c r="C2132" s="49"/>
      <c r="D2132" s="49"/>
      <c r="E2132" s="49"/>
    </row>
    <row r="2133" spans="1:5">
      <c r="A2133" s="49"/>
      <c r="B2133" s="49"/>
      <c r="C2133" s="49"/>
      <c r="D2133" s="49"/>
      <c r="E2133" s="49"/>
    </row>
    <row r="2134" spans="1:5">
      <c r="A2134" s="49"/>
      <c r="B2134" s="49"/>
      <c r="C2134" s="49"/>
      <c r="D2134" s="49"/>
      <c r="E2134" s="49"/>
    </row>
    <row r="2135" spans="1:5">
      <c r="A2135" s="49"/>
      <c r="B2135" s="49"/>
      <c r="C2135" s="49"/>
      <c r="D2135" s="49"/>
      <c r="E2135" s="49"/>
    </row>
    <row r="2136" spans="1:5">
      <c r="A2136" s="49"/>
      <c r="B2136" s="49"/>
      <c r="C2136" s="49"/>
      <c r="D2136" s="49"/>
      <c r="E2136" s="49"/>
    </row>
    <row r="2137" spans="1:5">
      <c r="A2137" s="49"/>
      <c r="B2137" s="49"/>
      <c r="C2137" s="49"/>
      <c r="D2137" s="49"/>
      <c r="E2137" s="49"/>
    </row>
    <row r="2138" spans="1:5">
      <c r="A2138" s="49"/>
      <c r="B2138" s="49"/>
      <c r="C2138" s="49"/>
      <c r="D2138" s="49"/>
      <c r="E2138" s="49"/>
    </row>
    <row r="2139" spans="1:5">
      <c r="A2139" s="49"/>
      <c r="B2139" s="49"/>
      <c r="C2139" s="49"/>
      <c r="D2139" s="49"/>
      <c r="E2139" s="49"/>
    </row>
    <row r="2140" spans="1:5">
      <c r="A2140" s="49"/>
      <c r="B2140" s="49"/>
      <c r="C2140" s="49"/>
      <c r="D2140" s="49"/>
      <c r="E2140" s="49"/>
    </row>
    <row r="2141" spans="1:5">
      <c r="A2141" s="49"/>
      <c r="B2141" s="49"/>
      <c r="C2141" s="49"/>
      <c r="D2141" s="49"/>
      <c r="E2141" s="49"/>
    </row>
    <row r="2142" spans="1:5">
      <c r="A2142" s="49"/>
      <c r="B2142" s="49"/>
      <c r="C2142" s="49"/>
      <c r="D2142" s="49"/>
      <c r="E2142" s="49"/>
    </row>
    <row r="2143" spans="1:5">
      <c r="A2143" s="49"/>
      <c r="B2143" s="49"/>
      <c r="C2143" s="49"/>
      <c r="D2143" s="49"/>
      <c r="E2143" s="49"/>
    </row>
    <row r="2144" spans="1:5">
      <c r="A2144" s="49"/>
      <c r="B2144" s="49"/>
      <c r="C2144" s="49"/>
      <c r="D2144" s="49"/>
      <c r="E2144" s="49"/>
    </row>
    <row r="2145" spans="1:5">
      <c r="A2145" s="49"/>
      <c r="B2145" s="49"/>
      <c r="C2145" s="49"/>
      <c r="D2145" s="49"/>
      <c r="E2145" s="49"/>
    </row>
    <row r="2146" spans="1:5">
      <c r="A2146" s="49"/>
      <c r="B2146" s="49"/>
      <c r="C2146" s="49"/>
      <c r="D2146" s="49"/>
      <c r="E2146" s="49"/>
    </row>
    <row r="2147" spans="1:5">
      <c r="A2147" s="49"/>
      <c r="B2147" s="49"/>
      <c r="C2147" s="49"/>
      <c r="D2147" s="49"/>
      <c r="E2147" s="49"/>
    </row>
    <row r="2148" spans="1:5">
      <c r="A2148" s="49"/>
      <c r="B2148" s="49"/>
      <c r="C2148" s="49"/>
      <c r="D2148" s="49"/>
      <c r="E2148" s="49"/>
    </row>
    <row r="2149" spans="1:5">
      <c r="A2149" s="49"/>
      <c r="B2149" s="49"/>
      <c r="C2149" s="49"/>
      <c r="D2149" s="49"/>
      <c r="E2149" s="49"/>
    </row>
    <row r="2150" spans="1:5">
      <c r="A2150" s="49"/>
      <c r="B2150" s="49"/>
      <c r="C2150" s="49"/>
      <c r="D2150" s="49"/>
      <c r="E2150" s="49"/>
    </row>
    <row r="2151" spans="1:5">
      <c r="A2151" s="49"/>
      <c r="B2151" s="49"/>
      <c r="C2151" s="49"/>
      <c r="D2151" s="49"/>
      <c r="E2151" s="49"/>
    </row>
    <row r="2152" spans="1:5">
      <c r="A2152" s="49"/>
      <c r="B2152" s="49"/>
      <c r="C2152" s="49"/>
      <c r="D2152" s="49"/>
      <c r="E2152" s="49"/>
    </row>
    <row r="2153" spans="1:5">
      <c r="A2153" s="49"/>
      <c r="B2153" s="49"/>
      <c r="C2153" s="49"/>
      <c r="D2153" s="49"/>
      <c r="E2153" s="49"/>
    </row>
    <row r="2154" spans="1:5">
      <c r="A2154" s="49"/>
      <c r="B2154" s="49"/>
      <c r="C2154" s="49"/>
      <c r="D2154" s="49"/>
      <c r="E2154" s="49"/>
    </row>
    <row r="2155" spans="1:5">
      <c r="A2155" s="49"/>
      <c r="B2155" s="49"/>
      <c r="C2155" s="49"/>
      <c r="D2155" s="49"/>
      <c r="E2155" s="49"/>
    </row>
    <row r="2156" spans="1:5">
      <c r="A2156" s="49"/>
      <c r="B2156" s="49"/>
      <c r="C2156" s="49"/>
      <c r="D2156" s="49"/>
      <c r="E2156" s="49"/>
    </row>
    <row r="2157" spans="1:5">
      <c r="A2157" s="49"/>
      <c r="B2157" s="49"/>
      <c r="C2157" s="49"/>
      <c r="D2157" s="49"/>
      <c r="E2157" s="49"/>
    </row>
    <row r="2158" spans="1:5">
      <c r="A2158" s="49"/>
      <c r="B2158" s="49"/>
      <c r="C2158" s="49"/>
      <c r="D2158" s="49"/>
      <c r="E2158" s="49"/>
    </row>
    <row r="2159" spans="1:5">
      <c r="A2159" s="49"/>
      <c r="B2159" s="49"/>
      <c r="C2159" s="49"/>
      <c r="D2159" s="49"/>
      <c r="E2159" s="49"/>
    </row>
    <row r="2160" spans="1:5">
      <c r="A2160" s="49"/>
      <c r="B2160" s="49"/>
      <c r="C2160" s="49"/>
      <c r="D2160" s="49"/>
      <c r="E2160" s="49"/>
    </row>
    <row r="2161" spans="1:5">
      <c r="A2161" s="49"/>
      <c r="B2161" s="49"/>
      <c r="C2161" s="49"/>
      <c r="D2161" s="49"/>
      <c r="E2161" s="49"/>
    </row>
    <row r="2162" spans="1:5">
      <c r="A2162" s="49"/>
      <c r="B2162" s="49"/>
      <c r="C2162" s="49"/>
      <c r="D2162" s="49"/>
      <c r="E2162" s="49"/>
    </row>
    <row r="2163" spans="1:5">
      <c r="A2163" s="49"/>
      <c r="B2163" s="49"/>
      <c r="C2163" s="49"/>
      <c r="D2163" s="49"/>
      <c r="E2163" s="49"/>
    </row>
    <row r="2164" spans="1:5">
      <c r="A2164" s="49"/>
      <c r="B2164" s="49"/>
      <c r="C2164" s="49"/>
      <c r="D2164" s="49"/>
      <c r="E2164" s="49"/>
    </row>
    <row r="2165" spans="1:5">
      <c r="A2165" s="49"/>
      <c r="B2165" s="49"/>
      <c r="C2165" s="49"/>
      <c r="D2165" s="49"/>
      <c r="E2165" s="49"/>
    </row>
    <row r="2166" spans="1:5">
      <c r="A2166" s="49"/>
      <c r="B2166" s="49"/>
      <c r="C2166" s="49"/>
      <c r="D2166" s="49"/>
      <c r="E2166" s="49"/>
    </row>
    <row r="2167" spans="1:5">
      <c r="A2167" s="49"/>
      <c r="B2167" s="49"/>
      <c r="C2167" s="49"/>
      <c r="D2167" s="49"/>
      <c r="E2167" s="49"/>
    </row>
    <row r="2168" spans="1:5">
      <c r="A2168" s="49"/>
      <c r="B2168" s="49"/>
      <c r="C2168" s="49"/>
      <c r="D2168" s="49"/>
      <c r="E2168" s="49"/>
    </row>
    <row r="2169" spans="1:5">
      <c r="A2169" s="49"/>
      <c r="B2169" s="49"/>
      <c r="C2169" s="49"/>
      <c r="D2169" s="49"/>
      <c r="E2169" s="49"/>
    </row>
    <row r="2170" spans="1:5">
      <c r="A2170" s="49"/>
      <c r="B2170" s="49"/>
      <c r="C2170" s="49"/>
      <c r="D2170" s="49"/>
      <c r="E2170" s="49"/>
    </row>
    <row r="2171" spans="1:5">
      <c r="A2171" s="49"/>
      <c r="B2171" s="49"/>
      <c r="C2171" s="49"/>
      <c r="D2171" s="49"/>
      <c r="E2171" s="49"/>
    </row>
    <row r="2172" spans="1:5">
      <c r="A2172" s="49"/>
      <c r="B2172" s="49"/>
      <c r="C2172" s="49"/>
      <c r="D2172" s="49"/>
      <c r="E2172" s="49"/>
    </row>
    <row r="2173" spans="1:5">
      <c r="A2173" s="49"/>
      <c r="B2173" s="49"/>
      <c r="C2173" s="49"/>
      <c r="D2173" s="49"/>
      <c r="E2173" s="49"/>
    </row>
    <row r="2174" spans="1:5">
      <c r="A2174" s="49"/>
      <c r="B2174" s="49"/>
      <c r="C2174" s="49"/>
      <c r="D2174" s="49"/>
      <c r="E2174" s="49"/>
    </row>
    <row r="2175" spans="1:5">
      <c r="A2175" s="49"/>
      <c r="B2175" s="49"/>
      <c r="C2175" s="49"/>
      <c r="D2175" s="49"/>
      <c r="E2175" s="49"/>
    </row>
    <row r="2176" spans="1:5">
      <c r="A2176" s="49"/>
      <c r="B2176" s="49"/>
      <c r="C2176" s="49"/>
      <c r="D2176" s="49"/>
      <c r="E2176" s="49"/>
    </row>
    <row r="2177" spans="1:5">
      <c r="A2177" s="49"/>
      <c r="B2177" s="49"/>
      <c r="C2177" s="49"/>
      <c r="D2177" s="49"/>
      <c r="E2177" s="49"/>
    </row>
    <row r="2178" spans="1:5">
      <c r="A2178" s="49"/>
      <c r="B2178" s="49"/>
      <c r="C2178" s="49"/>
      <c r="D2178" s="49"/>
      <c r="E2178" s="49"/>
    </row>
    <row r="2179" spans="1:5">
      <c r="A2179" s="49"/>
      <c r="B2179" s="49"/>
      <c r="C2179" s="49"/>
      <c r="D2179" s="49"/>
      <c r="E2179" s="49"/>
    </row>
    <row r="2180" spans="1:5">
      <c r="A2180" s="49"/>
      <c r="B2180" s="49"/>
      <c r="C2180" s="49"/>
      <c r="D2180" s="49"/>
      <c r="E2180" s="49"/>
    </row>
    <row r="2181" spans="1:5">
      <c r="A2181" s="49"/>
      <c r="B2181" s="49"/>
      <c r="C2181" s="49"/>
      <c r="D2181" s="49"/>
      <c r="E2181" s="49"/>
    </row>
    <row r="2182" spans="1:5">
      <c r="A2182" s="49"/>
      <c r="B2182" s="49"/>
      <c r="C2182" s="49"/>
      <c r="D2182" s="49"/>
      <c r="E2182" s="49"/>
    </row>
    <row r="2183" spans="1:5">
      <c r="A2183" s="49"/>
      <c r="B2183" s="49"/>
      <c r="C2183" s="49"/>
      <c r="D2183" s="49"/>
      <c r="E2183" s="49"/>
    </row>
    <row r="2184" spans="1:5">
      <c r="A2184" s="49"/>
      <c r="B2184" s="49"/>
      <c r="C2184" s="49"/>
      <c r="D2184" s="49"/>
      <c r="E2184" s="49"/>
    </row>
    <row r="2185" spans="1:5">
      <c r="A2185" s="49"/>
      <c r="B2185" s="49"/>
      <c r="C2185" s="49"/>
      <c r="D2185" s="49"/>
      <c r="E2185" s="49"/>
    </row>
    <row r="2186" spans="1:5">
      <c r="A2186" s="49"/>
      <c r="B2186" s="49"/>
      <c r="C2186" s="49"/>
      <c r="D2186" s="49"/>
      <c r="E2186" s="49"/>
    </row>
    <row r="2187" spans="1:5">
      <c r="A2187" s="49"/>
      <c r="B2187" s="49"/>
      <c r="C2187" s="49"/>
      <c r="D2187" s="49"/>
      <c r="E2187" s="49"/>
    </row>
    <row r="2188" spans="1:5">
      <c r="A2188" s="49"/>
      <c r="B2188" s="49"/>
      <c r="C2188" s="49"/>
      <c r="D2188" s="49"/>
      <c r="E2188" s="49"/>
    </row>
    <row r="2189" spans="1:5">
      <c r="A2189" s="49"/>
      <c r="B2189" s="49"/>
      <c r="C2189" s="49"/>
      <c r="D2189" s="49"/>
      <c r="E2189" s="49"/>
    </row>
    <row r="2190" spans="1:5">
      <c r="A2190" s="49"/>
      <c r="B2190" s="49"/>
      <c r="C2190" s="49"/>
      <c r="D2190" s="49"/>
      <c r="E2190" s="49"/>
    </row>
    <row r="2191" spans="1:5">
      <c r="A2191" s="49"/>
      <c r="B2191" s="49"/>
      <c r="C2191" s="49"/>
      <c r="D2191" s="49"/>
      <c r="E2191" s="49"/>
    </row>
    <row r="2192" spans="1:5">
      <c r="A2192" s="49"/>
      <c r="B2192" s="49"/>
      <c r="C2192" s="49"/>
      <c r="D2192" s="49"/>
      <c r="E2192" s="49"/>
    </row>
    <row r="2193" spans="1:5">
      <c r="A2193" s="49"/>
      <c r="B2193" s="49"/>
      <c r="C2193" s="49"/>
      <c r="D2193" s="49"/>
      <c r="E2193" s="49"/>
    </row>
    <row r="2194" spans="1:5">
      <c r="A2194" s="49"/>
      <c r="B2194" s="49"/>
      <c r="C2194" s="49"/>
      <c r="D2194" s="49"/>
      <c r="E2194" s="49"/>
    </row>
    <row r="2195" spans="1:5">
      <c r="A2195" s="49"/>
      <c r="B2195" s="49"/>
      <c r="C2195" s="49"/>
      <c r="D2195" s="49"/>
      <c r="E2195" s="49"/>
    </row>
    <row r="2196" spans="1:5">
      <c r="A2196" s="49"/>
      <c r="B2196" s="49"/>
      <c r="C2196" s="49"/>
      <c r="D2196" s="49"/>
      <c r="E2196" s="49"/>
    </row>
    <row r="2197" spans="1:5">
      <c r="A2197" s="49"/>
      <c r="B2197" s="49"/>
      <c r="C2197" s="49"/>
      <c r="D2197" s="49"/>
      <c r="E2197" s="49"/>
    </row>
    <row r="2198" spans="1:5">
      <c r="A2198" s="49"/>
      <c r="B2198" s="49"/>
      <c r="C2198" s="49"/>
      <c r="D2198" s="49"/>
      <c r="E2198" s="49"/>
    </row>
    <row r="2199" spans="1:5">
      <c r="A2199" s="49"/>
      <c r="B2199" s="49"/>
      <c r="C2199" s="49"/>
      <c r="D2199" s="49"/>
      <c r="E2199" s="49"/>
    </row>
    <row r="2200" spans="1:5">
      <c r="A2200" s="49"/>
      <c r="B2200" s="49"/>
      <c r="C2200" s="49"/>
      <c r="D2200" s="49"/>
      <c r="E2200" s="49"/>
    </row>
    <row r="2201" spans="1:5">
      <c r="A2201" s="49"/>
      <c r="B2201" s="49"/>
      <c r="C2201" s="49"/>
      <c r="D2201" s="49"/>
      <c r="E2201" s="49"/>
    </row>
    <row r="2202" spans="1:5">
      <c r="A2202" s="49"/>
      <c r="B2202" s="49"/>
      <c r="C2202" s="49"/>
      <c r="D2202" s="49"/>
      <c r="E2202" s="49"/>
    </row>
    <row r="2203" spans="1:5">
      <c r="A2203" s="49"/>
      <c r="B2203" s="49"/>
      <c r="C2203" s="49"/>
      <c r="D2203" s="49"/>
      <c r="E2203" s="49"/>
    </row>
    <row r="2204" spans="1:5">
      <c r="A2204" s="49"/>
      <c r="B2204" s="49"/>
      <c r="C2204" s="49"/>
      <c r="D2204" s="49"/>
      <c r="E2204" s="49"/>
    </row>
    <row r="2205" spans="1:5">
      <c r="A2205" s="49"/>
      <c r="B2205" s="49"/>
      <c r="C2205" s="49"/>
      <c r="D2205" s="49"/>
      <c r="E2205" s="49"/>
    </row>
    <row r="2206" spans="1:5">
      <c r="A2206" s="49"/>
      <c r="B2206" s="49"/>
      <c r="C2206" s="49"/>
      <c r="D2206" s="49"/>
      <c r="E2206" s="49"/>
    </row>
    <row r="2207" spans="1:5">
      <c r="A2207" s="49"/>
      <c r="B2207" s="49"/>
      <c r="C2207" s="49"/>
      <c r="D2207" s="49"/>
      <c r="E2207" s="49"/>
    </row>
    <row r="2208" spans="1:5">
      <c r="A2208" s="49"/>
      <c r="B2208" s="49"/>
      <c r="C2208" s="49"/>
      <c r="D2208" s="49"/>
      <c r="E2208" s="49"/>
    </row>
    <row r="2209" spans="1:5">
      <c r="A2209" s="49"/>
      <c r="B2209" s="49"/>
      <c r="C2209" s="49"/>
      <c r="D2209" s="49"/>
      <c r="E2209" s="49"/>
    </row>
    <row r="2210" spans="1:5">
      <c r="A2210" s="49"/>
      <c r="B2210" s="49"/>
      <c r="C2210" s="49"/>
      <c r="D2210" s="49"/>
      <c r="E2210" s="49"/>
    </row>
    <row r="2211" spans="1:5">
      <c r="A2211" s="49"/>
      <c r="B2211" s="49"/>
      <c r="C2211" s="49"/>
      <c r="D2211" s="49"/>
      <c r="E2211" s="49"/>
    </row>
    <row r="2212" spans="1:5">
      <c r="A2212" s="49"/>
      <c r="B2212" s="49"/>
      <c r="C2212" s="49"/>
      <c r="D2212" s="49"/>
      <c r="E2212" s="49"/>
    </row>
    <row r="2213" spans="1:5">
      <c r="A2213" s="49"/>
      <c r="B2213" s="49"/>
      <c r="C2213" s="49"/>
      <c r="D2213" s="49"/>
      <c r="E2213" s="49"/>
    </row>
    <row r="2214" spans="1:5">
      <c r="A2214" s="49"/>
      <c r="B2214" s="49"/>
      <c r="C2214" s="49"/>
      <c r="D2214" s="49"/>
      <c r="E2214" s="49"/>
    </row>
    <row r="2215" spans="1:5">
      <c r="A2215" s="49"/>
      <c r="B2215" s="49"/>
      <c r="C2215" s="49"/>
      <c r="D2215" s="49"/>
      <c r="E2215" s="49"/>
    </row>
    <row r="2216" spans="1:5">
      <c r="A2216" s="49"/>
      <c r="B2216" s="49"/>
      <c r="C2216" s="49"/>
      <c r="D2216" s="49"/>
      <c r="E2216" s="49"/>
    </row>
    <row r="2217" spans="1:5">
      <c r="A2217" s="49"/>
      <c r="B2217" s="49"/>
      <c r="C2217" s="49"/>
      <c r="D2217" s="49"/>
      <c r="E2217" s="49"/>
    </row>
    <row r="2218" spans="1:5">
      <c r="A2218" s="49"/>
      <c r="B2218" s="49"/>
      <c r="C2218" s="49"/>
      <c r="D2218" s="49"/>
      <c r="E2218" s="49"/>
    </row>
    <row r="2219" spans="1:5">
      <c r="A2219" s="49"/>
      <c r="B2219" s="49"/>
      <c r="C2219" s="49"/>
      <c r="D2219" s="49"/>
      <c r="E2219" s="49"/>
    </row>
    <row r="2220" spans="1:5">
      <c r="A2220" s="49"/>
      <c r="B2220" s="49"/>
      <c r="C2220" s="49"/>
      <c r="D2220" s="49"/>
      <c r="E2220" s="49"/>
    </row>
    <row r="2221" spans="1:5">
      <c r="A2221" s="49"/>
      <c r="B2221" s="49"/>
      <c r="C2221" s="49"/>
      <c r="D2221" s="49"/>
      <c r="E2221" s="49"/>
    </row>
    <row r="2222" spans="1:5">
      <c r="A2222" s="49"/>
      <c r="B2222" s="49"/>
      <c r="C2222" s="49"/>
      <c r="D2222" s="49"/>
      <c r="E2222" s="49"/>
    </row>
    <row r="2223" spans="1:5">
      <c r="A2223" s="49"/>
      <c r="B2223" s="49"/>
      <c r="C2223" s="49"/>
      <c r="D2223" s="49"/>
      <c r="E2223" s="49"/>
    </row>
    <row r="2224" spans="1:5">
      <c r="A2224" s="49"/>
      <c r="B2224" s="49"/>
      <c r="C2224" s="49"/>
      <c r="D2224" s="49"/>
      <c r="E2224" s="49"/>
    </row>
    <row r="2225" spans="1:5">
      <c r="A2225" s="49"/>
      <c r="B2225" s="49"/>
      <c r="C2225" s="49"/>
      <c r="D2225" s="49"/>
      <c r="E2225" s="49"/>
    </row>
    <row r="2226" spans="1:5">
      <c r="A2226" s="49"/>
      <c r="B2226" s="49"/>
      <c r="C2226" s="49"/>
      <c r="D2226" s="49"/>
      <c r="E2226" s="49"/>
    </row>
    <row r="2227" spans="1:5">
      <c r="A2227" s="49"/>
      <c r="B2227" s="49"/>
      <c r="C2227" s="49"/>
      <c r="D2227" s="49"/>
      <c r="E2227" s="49"/>
    </row>
    <row r="2228" spans="1:5">
      <c r="A2228" s="49"/>
      <c r="B2228" s="49"/>
      <c r="C2228" s="49"/>
      <c r="D2228" s="49"/>
      <c r="E2228" s="49"/>
    </row>
    <row r="2229" spans="1:5">
      <c r="A2229" s="49"/>
      <c r="B2229" s="49"/>
      <c r="C2229" s="49"/>
      <c r="D2229" s="49"/>
      <c r="E2229" s="49"/>
    </row>
    <row r="2230" spans="1:5">
      <c r="A2230" s="49"/>
      <c r="B2230" s="49"/>
      <c r="C2230" s="49"/>
      <c r="D2230" s="49"/>
      <c r="E2230" s="49"/>
    </row>
    <row r="2231" spans="1:5">
      <c r="A2231" s="49"/>
      <c r="B2231" s="49"/>
      <c r="C2231" s="49"/>
      <c r="D2231" s="49"/>
      <c r="E2231" s="49"/>
    </row>
    <row r="2232" spans="1:5">
      <c r="A2232" s="49"/>
      <c r="B2232" s="49"/>
      <c r="C2232" s="49"/>
      <c r="D2232" s="49"/>
      <c r="E2232" s="49"/>
    </row>
    <row r="2233" spans="1:5">
      <c r="A2233" s="49"/>
      <c r="B2233" s="49"/>
      <c r="C2233" s="49"/>
      <c r="D2233" s="49"/>
      <c r="E2233" s="49"/>
    </row>
    <row r="2234" spans="1:5">
      <c r="A2234" s="49"/>
      <c r="B2234" s="49"/>
      <c r="C2234" s="49"/>
      <c r="D2234" s="49"/>
      <c r="E2234" s="49"/>
    </row>
    <row r="2235" spans="1:5">
      <c r="A2235" s="49"/>
      <c r="B2235" s="49"/>
      <c r="C2235" s="49"/>
      <c r="D2235" s="49"/>
      <c r="E2235" s="49"/>
    </row>
    <row r="2236" spans="1:5">
      <c r="A2236" s="49"/>
      <c r="B2236" s="49"/>
      <c r="C2236" s="49"/>
      <c r="D2236" s="49"/>
      <c r="E2236" s="49"/>
    </row>
    <row r="2237" spans="1:5">
      <c r="A2237" s="49"/>
      <c r="B2237" s="49"/>
      <c r="C2237" s="49"/>
      <c r="D2237" s="49"/>
      <c r="E2237" s="49"/>
    </row>
    <row r="2238" spans="1:5">
      <c r="A2238" s="49"/>
      <c r="B2238" s="49"/>
      <c r="C2238" s="49"/>
      <c r="D2238" s="49"/>
      <c r="E2238" s="49"/>
    </row>
    <row r="2239" spans="1:5">
      <c r="A2239" s="49"/>
      <c r="B2239" s="49"/>
      <c r="C2239" s="49"/>
      <c r="D2239" s="49"/>
      <c r="E2239" s="49"/>
    </row>
    <row r="2240" spans="1:5">
      <c r="A2240" s="49"/>
      <c r="B2240" s="49"/>
      <c r="C2240" s="49"/>
      <c r="D2240" s="49"/>
      <c r="E2240" s="49"/>
    </row>
    <row r="2241" spans="1:5">
      <c r="A2241" s="49"/>
      <c r="B2241" s="49"/>
      <c r="C2241" s="49"/>
      <c r="D2241" s="49"/>
      <c r="E2241" s="49"/>
    </row>
    <row r="2242" spans="1:5">
      <c r="A2242" s="49"/>
      <c r="B2242" s="49"/>
      <c r="C2242" s="49"/>
      <c r="D2242" s="49"/>
      <c r="E2242" s="49"/>
    </row>
    <row r="2243" spans="1:5">
      <c r="A2243" s="49"/>
      <c r="B2243" s="49"/>
      <c r="C2243" s="49"/>
      <c r="D2243" s="49"/>
      <c r="E2243" s="49"/>
    </row>
    <row r="2244" spans="1:5">
      <c r="A2244" s="49"/>
      <c r="B2244" s="49"/>
      <c r="C2244" s="49"/>
      <c r="D2244" s="49"/>
      <c r="E2244" s="49"/>
    </row>
    <row r="2245" spans="1:5">
      <c r="A2245" s="49"/>
      <c r="B2245" s="49"/>
      <c r="C2245" s="49"/>
      <c r="D2245" s="49"/>
      <c r="E2245" s="49"/>
    </row>
    <row r="2246" spans="1:5">
      <c r="A2246" s="49"/>
      <c r="B2246" s="49"/>
      <c r="C2246" s="49"/>
      <c r="D2246" s="49"/>
      <c r="E2246" s="49"/>
    </row>
    <row r="2247" spans="1:5">
      <c r="A2247" s="49"/>
      <c r="B2247" s="49"/>
      <c r="C2247" s="49"/>
      <c r="D2247" s="49"/>
      <c r="E2247" s="49"/>
    </row>
    <row r="2248" spans="1:5">
      <c r="A2248" s="49"/>
      <c r="B2248" s="49"/>
      <c r="C2248" s="49"/>
      <c r="D2248" s="49"/>
      <c r="E2248" s="49"/>
    </row>
    <row r="2249" spans="1:5">
      <c r="A2249" s="49"/>
      <c r="B2249" s="49"/>
      <c r="C2249" s="49"/>
      <c r="D2249" s="49"/>
      <c r="E2249" s="49"/>
    </row>
    <row r="2250" spans="1:5">
      <c r="A2250" s="49"/>
      <c r="B2250" s="49"/>
      <c r="C2250" s="49"/>
      <c r="D2250" s="49"/>
      <c r="E2250" s="49"/>
    </row>
    <row r="2251" spans="1:5">
      <c r="A2251" s="49"/>
      <c r="B2251" s="49"/>
      <c r="C2251" s="49"/>
      <c r="D2251" s="49"/>
      <c r="E2251" s="49"/>
    </row>
    <row r="2252" spans="1:5">
      <c r="A2252" s="49"/>
      <c r="B2252" s="49"/>
      <c r="C2252" s="49"/>
      <c r="D2252" s="49"/>
      <c r="E2252" s="49"/>
    </row>
    <row r="2253" spans="1:5">
      <c r="A2253" s="49"/>
      <c r="B2253" s="49"/>
      <c r="C2253" s="49"/>
      <c r="D2253" s="49"/>
      <c r="E2253" s="49"/>
    </row>
    <row r="2254" spans="1:5">
      <c r="A2254" s="49"/>
      <c r="B2254" s="49"/>
      <c r="C2254" s="49"/>
      <c r="D2254" s="49"/>
      <c r="E2254" s="49"/>
    </row>
    <row r="2255" spans="1:5">
      <c r="A2255" s="49"/>
      <c r="B2255" s="49"/>
      <c r="C2255" s="49"/>
      <c r="D2255" s="49"/>
      <c r="E2255" s="49"/>
    </row>
    <row r="2256" spans="1:5">
      <c r="A2256" s="49"/>
      <c r="B2256" s="49"/>
      <c r="C2256" s="49"/>
      <c r="D2256" s="49"/>
      <c r="E2256" s="49"/>
    </row>
    <row r="2257" spans="1:5">
      <c r="A2257" s="49"/>
      <c r="B2257" s="49"/>
      <c r="C2257" s="49"/>
      <c r="D2257" s="49"/>
      <c r="E2257" s="49"/>
    </row>
    <row r="2258" spans="1:5">
      <c r="A2258" s="49"/>
      <c r="B2258" s="49"/>
      <c r="C2258" s="49"/>
      <c r="D2258" s="49"/>
      <c r="E2258" s="49"/>
    </row>
    <row r="2259" spans="1:5">
      <c r="A2259" s="49"/>
      <c r="B2259" s="49"/>
      <c r="C2259" s="49"/>
      <c r="D2259" s="49"/>
      <c r="E2259" s="49"/>
    </row>
    <row r="2260" spans="1:5">
      <c r="A2260" s="49"/>
      <c r="B2260" s="49"/>
      <c r="C2260" s="49"/>
      <c r="D2260" s="49"/>
      <c r="E2260" s="49"/>
    </row>
    <row r="2261" spans="1:5">
      <c r="A2261" s="49"/>
      <c r="B2261" s="49"/>
      <c r="C2261" s="49"/>
      <c r="D2261" s="49"/>
      <c r="E2261" s="49"/>
    </row>
    <row r="2262" spans="1:5">
      <c r="A2262" s="49"/>
      <c r="B2262" s="49"/>
      <c r="C2262" s="49"/>
      <c r="D2262" s="49"/>
      <c r="E2262" s="49"/>
    </row>
    <row r="2263" spans="1:5">
      <c r="A2263" s="49"/>
      <c r="B2263" s="49"/>
      <c r="C2263" s="49"/>
      <c r="D2263" s="49"/>
      <c r="E2263" s="49"/>
    </row>
    <row r="2264" spans="1:5">
      <c r="A2264" s="49"/>
      <c r="B2264" s="49"/>
      <c r="C2264" s="49"/>
      <c r="D2264" s="49"/>
      <c r="E2264" s="49"/>
    </row>
    <row r="2265" spans="1:5">
      <c r="A2265" s="49"/>
      <c r="B2265" s="49"/>
      <c r="C2265" s="49"/>
      <c r="D2265" s="49"/>
      <c r="E2265" s="49"/>
    </row>
    <row r="2266" spans="1:5">
      <c r="A2266" s="49"/>
      <c r="B2266" s="49"/>
      <c r="C2266" s="49"/>
      <c r="D2266" s="49"/>
      <c r="E2266" s="49"/>
    </row>
    <row r="2267" spans="1:5">
      <c r="A2267" s="49"/>
      <c r="B2267" s="49"/>
      <c r="C2267" s="49"/>
      <c r="D2267" s="49"/>
      <c r="E2267" s="49"/>
    </row>
    <row r="2268" spans="1:5">
      <c r="A2268" s="49"/>
      <c r="B2268" s="49"/>
      <c r="C2268" s="49"/>
      <c r="D2268" s="49"/>
      <c r="E2268" s="49"/>
    </row>
    <row r="2269" spans="1:5">
      <c r="A2269" s="49"/>
      <c r="B2269" s="49"/>
      <c r="C2269" s="49"/>
      <c r="D2269" s="49"/>
      <c r="E2269" s="49"/>
    </row>
    <row r="2270" spans="1:5">
      <c r="A2270" s="49"/>
      <c r="B2270" s="49"/>
      <c r="C2270" s="49"/>
      <c r="D2270" s="49"/>
      <c r="E2270" s="49"/>
    </row>
    <row r="2271" spans="1:5">
      <c r="A2271" s="49"/>
      <c r="B2271" s="49"/>
      <c r="C2271" s="49"/>
      <c r="D2271" s="49"/>
      <c r="E2271" s="49"/>
    </row>
    <row r="2272" spans="1:5">
      <c r="A2272" s="49"/>
      <c r="B2272" s="49"/>
      <c r="C2272" s="49"/>
      <c r="D2272" s="49"/>
      <c r="E2272" s="49"/>
    </row>
    <row r="2273" spans="1:5">
      <c r="A2273" s="49"/>
      <c r="B2273" s="49"/>
      <c r="C2273" s="49"/>
      <c r="D2273" s="49"/>
      <c r="E2273" s="49"/>
    </row>
    <row r="2274" spans="1:5">
      <c r="A2274" s="49"/>
      <c r="B2274" s="49"/>
      <c r="C2274" s="49"/>
      <c r="D2274" s="49"/>
      <c r="E2274" s="49"/>
    </row>
    <row r="2275" spans="1:5">
      <c r="A2275" s="49"/>
      <c r="B2275" s="49"/>
      <c r="C2275" s="49"/>
      <c r="D2275" s="49"/>
      <c r="E2275" s="49"/>
    </row>
    <row r="2276" spans="1:5">
      <c r="A2276" s="49"/>
      <c r="B2276" s="49"/>
      <c r="C2276" s="49"/>
      <c r="D2276" s="49"/>
      <c r="E2276" s="49"/>
    </row>
    <row r="2277" spans="1:5">
      <c r="A2277" s="49"/>
      <c r="B2277" s="49"/>
      <c r="C2277" s="49"/>
      <c r="D2277" s="49"/>
      <c r="E2277" s="49"/>
    </row>
    <row r="2278" spans="1:5">
      <c r="A2278" s="49"/>
      <c r="B2278" s="49"/>
      <c r="C2278" s="49"/>
      <c r="D2278" s="49"/>
      <c r="E2278" s="49"/>
    </row>
    <row r="2279" spans="1:5">
      <c r="A2279" s="49"/>
      <c r="B2279" s="49"/>
      <c r="C2279" s="49"/>
      <c r="D2279" s="49"/>
      <c r="E2279" s="49"/>
    </row>
    <row r="2280" spans="1:5">
      <c r="A2280" s="49"/>
      <c r="B2280" s="49"/>
      <c r="C2280" s="49"/>
      <c r="D2280" s="49"/>
      <c r="E2280" s="49"/>
    </row>
    <row r="2281" spans="1:5">
      <c r="A2281" s="49"/>
      <c r="B2281" s="49"/>
      <c r="C2281" s="49"/>
      <c r="D2281" s="49"/>
      <c r="E2281" s="49"/>
    </row>
    <row r="2282" spans="1:5">
      <c r="A2282" s="49"/>
      <c r="B2282" s="49"/>
      <c r="C2282" s="49"/>
      <c r="D2282" s="49"/>
      <c r="E2282" s="49"/>
    </row>
    <row r="2283" spans="1:5">
      <c r="A2283" s="49"/>
      <c r="B2283" s="49"/>
      <c r="C2283" s="49"/>
      <c r="D2283" s="49"/>
      <c r="E2283" s="49"/>
    </row>
    <row r="2284" spans="1:5">
      <c r="A2284" s="49"/>
      <c r="B2284" s="49"/>
      <c r="C2284" s="49"/>
      <c r="D2284" s="49"/>
      <c r="E2284" s="49"/>
    </row>
    <row r="2285" spans="1:5">
      <c r="A2285" s="49"/>
      <c r="B2285" s="49"/>
      <c r="C2285" s="49"/>
      <c r="D2285" s="49"/>
      <c r="E2285" s="49"/>
    </row>
    <row r="2286" spans="1:5">
      <c r="A2286" s="49"/>
      <c r="B2286" s="49"/>
      <c r="C2286" s="49"/>
      <c r="D2286" s="49"/>
      <c r="E2286" s="49"/>
    </row>
    <row r="2287" spans="1:5">
      <c r="A2287" s="49"/>
      <c r="B2287" s="49"/>
      <c r="C2287" s="49"/>
      <c r="D2287" s="49"/>
      <c r="E2287" s="49"/>
    </row>
    <row r="2288" spans="1:5">
      <c r="A2288" s="49"/>
      <c r="B2288" s="49"/>
      <c r="C2288" s="49"/>
      <c r="D2288" s="49"/>
      <c r="E2288" s="49"/>
    </row>
    <row r="2289" spans="1:5">
      <c r="A2289" s="49"/>
      <c r="B2289" s="49"/>
      <c r="C2289" s="49"/>
      <c r="D2289" s="49"/>
      <c r="E2289" s="49"/>
    </row>
    <row r="2290" spans="1:5">
      <c r="A2290" s="49"/>
      <c r="B2290" s="49"/>
      <c r="C2290" s="49"/>
      <c r="D2290" s="49"/>
      <c r="E2290" s="49"/>
    </row>
    <row r="2291" spans="1:5">
      <c r="A2291" s="49"/>
      <c r="B2291" s="49"/>
      <c r="C2291" s="49"/>
      <c r="D2291" s="49"/>
      <c r="E2291" s="49"/>
    </row>
    <row r="2292" spans="1:5">
      <c r="A2292" s="49"/>
      <c r="B2292" s="49"/>
      <c r="C2292" s="49"/>
      <c r="D2292" s="49"/>
      <c r="E2292" s="49"/>
    </row>
    <row r="2293" spans="1:5">
      <c r="A2293" s="49"/>
      <c r="B2293" s="49"/>
      <c r="C2293" s="49"/>
      <c r="D2293" s="49"/>
      <c r="E2293" s="49"/>
    </row>
    <row r="2294" spans="1:5">
      <c r="A2294" s="49"/>
      <c r="B2294" s="49"/>
      <c r="C2294" s="49"/>
      <c r="D2294" s="49"/>
      <c r="E2294" s="49"/>
    </row>
    <row r="2295" spans="1:5">
      <c r="A2295" s="49"/>
      <c r="B2295" s="49"/>
      <c r="C2295" s="49"/>
      <c r="D2295" s="49"/>
      <c r="E2295" s="49"/>
    </row>
    <row r="2296" spans="1:5">
      <c r="A2296" s="49"/>
      <c r="B2296" s="49"/>
      <c r="C2296" s="49"/>
      <c r="D2296" s="49"/>
      <c r="E2296" s="49"/>
    </row>
    <row r="2297" spans="1:5">
      <c r="A2297" s="49"/>
      <c r="B2297" s="49"/>
      <c r="C2297" s="49"/>
      <c r="D2297" s="49"/>
      <c r="E2297" s="49"/>
    </row>
    <row r="2298" spans="1:5">
      <c r="A2298" s="49"/>
      <c r="B2298" s="49"/>
      <c r="C2298" s="49"/>
      <c r="D2298" s="49"/>
      <c r="E2298" s="49"/>
    </row>
    <row r="2299" spans="1:5">
      <c r="A2299" s="49"/>
      <c r="B2299" s="49"/>
      <c r="C2299" s="49"/>
      <c r="D2299" s="49"/>
      <c r="E2299" s="49"/>
    </row>
    <row r="2300" spans="1:5">
      <c r="A2300" s="49"/>
      <c r="B2300" s="49"/>
      <c r="C2300" s="49"/>
      <c r="D2300" s="49"/>
      <c r="E2300" s="49"/>
    </row>
    <row r="2301" spans="1:5">
      <c r="A2301" s="49"/>
      <c r="B2301" s="49"/>
      <c r="C2301" s="49"/>
      <c r="D2301" s="49"/>
      <c r="E2301" s="49"/>
    </row>
    <row r="2302" spans="1:5">
      <c r="A2302" s="49"/>
      <c r="B2302" s="49"/>
      <c r="C2302" s="49"/>
      <c r="D2302" s="49"/>
      <c r="E2302" s="49"/>
    </row>
    <row r="2303" spans="1:5">
      <c r="A2303" s="49"/>
      <c r="B2303" s="49"/>
      <c r="C2303" s="49"/>
      <c r="D2303" s="49"/>
      <c r="E2303" s="49"/>
    </row>
    <row r="2304" spans="1:5">
      <c r="A2304" s="49"/>
      <c r="B2304" s="49"/>
      <c r="C2304" s="49"/>
      <c r="D2304" s="49"/>
      <c r="E2304" s="49"/>
    </row>
    <row r="2305" spans="1:5">
      <c r="A2305" s="49"/>
      <c r="B2305" s="49"/>
      <c r="C2305" s="49"/>
      <c r="D2305" s="49"/>
      <c r="E2305" s="49"/>
    </row>
    <row r="2306" spans="1:5">
      <c r="A2306" s="49"/>
      <c r="B2306" s="49"/>
      <c r="C2306" s="49"/>
      <c r="D2306" s="49"/>
      <c r="E2306" s="49"/>
    </row>
    <row r="2307" spans="1:5">
      <c r="A2307" s="49"/>
      <c r="B2307" s="49"/>
      <c r="C2307" s="49"/>
      <c r="D2307" s="49"/>
      <c r="E2307" s="49"/>
    </row>
    <row r="2308" spans="1:5">
      <c r="A2308" s="49"/>
      <c r="B2308" s="49"/>
      <c r="C2308" s="49"/>
      <c r="D2308" s="49"/>
      <c r="E2308" s="49"/>
    </row>
    <row r="2309" spans="1:5">
      <c r="A2309" s="49"/>
      <c r="B2309" s="49"/>
      <c r="C2309" s="49"/>
      <c r="D2309" s="49"/>
      <c r="E2309" s="49"/>
    </row>
    <row r="2310" spans="1:5">
      <c r="A2310" s="49"/>
      <c r="B2310" s="49"/>
      <c r="C2310" s="49"/>
      <c r="D2310" s="49"/>
      <c r="E2310" s="49"/>
    </row>
    <row r="2311" spans="1:5">
      <c r="A2311" s="49"/>
      <c r="B2311" s="49"/>
      <c r="C2311" s="49"/>
      <c r="D2311" s="49"/>
      <c r="E2311" s="49"/>
    </row>
    <row r="2312" spans="1:5">
      <c r="A2312" s="49"/>
      <c r="B2312" s="49"/>
      <c r="C2312" s="49"/>
      <c r="D2312" s="49"/>
      <c r="E2312" s="49"/>
    </row>
    <row r="2313" spans="1:5">
      <c r="A2313" s="49"/>
      <c r="B2313" s="49"/>
      <c r="C2313" s="49"/>
      <c r="D2313" s="49"/>
      <c r="E2313" s="49"/>
    </row>
    <row r="2314" spans="1:5">
      <c r="A2314" s="49"/>
      <c r="B2314" s="49"/>
      <c r="C2314" s="49"/>
      <c r="D2314" s="49"/>
      <c r="E2314" s="49"/>
    </row>
    <row r="2315" spans="1:5">
      <c r="A2315" s="49"/>
      <c r="B2315" s="49"/>
      <c r="C2315" s="49"/>
      <c r="D2315" s="49"/>
      <c r="E2315" s="49"/>
    </row>
    <row r="2316" spans="1:5">
      <c r="A2316" s="49"/>
      <c r="B2316" s="49"/>
      <c r="C2316" s="49"/>
      <c r="D2316" s="49"/>
      <c r="E2316" s="49"/>
    </row>
    <row r="2317" spans="1:5">
      <c r="A2317" s="49"/>
      <c r="B2317" s="49"/>
      <c r="C2317" s="49"/>
      <c r="D2317" s="49"/>
      <c r="E2317" s="49"/>
    </row>
    <row r="2318" spans="1:5">
      <c r="A2318" s="49"/>
      <c r="B2318" s="49"/>
      <c r="C2318" s="49"/>
      <c r="D2318" s="49"/>
      <c r="E2318" s="49"/>
    </row>
    <row r="2319" spans="1:5">
      <c r="A2319" s="49"/>
      <c r="B2319" s="49"/>
      <c r="C2319" s="49"/>
      <c r="D2319" s="49"/>
      <c r="E2319" s="49"/>
    </row>
    <row r="2320" spans="1:5">
      <c r="A2320" s="49"/>
      <c r="B2320" s="49"/>
      <c r="C2320" s="49"/>
      <c r="D2320" s="49"/>
      <c r="E2320" s="49"/>
    </row>
    <row r="2321" spans="1:5">
      <c r="A2321" s="49"/>
      <c r="B2321" s="49"/>
      <c r="C2321" s="49"/>
      <c r="D2321" s="49"/>
      <c r="E2321" s="49"/>
    </row>
    <row r="2322" spans="1:5">
      <c r="A2322" s="49"/>
      <c r="B2322" s="49"/>
      <c r="C2322" s="49"/>
      <c r="D2322" s="49"/>
      <c r="E2322" s="49"/>
    </row>
    <row r="2323" spans="1:5">
      <c r="A2323" s="49"/>
      <c r="B2323" s="49"/>
      <c r="C2323" s="49"/>
      <c r="D2323" s="49"/>
      <c r="E2323" s="49"/>
    </row>
    <row r="2324" spans="1:5">
      <c r="A2324" s="49"/>
      <c r="B2324" s="49"/>
      <c r="C2324" s="49"/>
      <c r="D2324" s="49"/>
      <c r="E2324" s="49"/>
    </row>
    <row r="2325" spans="1:5">
      <c r="A2325" s="49"/>
      <c r="B2325" s="49"/>
      <c r="C2325" s="49"/>
      <c r="D2325" s="49"/>
      <c r="E2325" s="49"/>
    </row>
    <row r="2326" spans="1:5">
      <c r="A2326" s="49"/>
      <c r="B2326" s="49"/>
      <c r="C2326" s="49"/>
      <c r="D2326" s="49"/>
      <c r="E2326" s="49"/>
    </row>
    <row r="2327" spans="1:5">
      <c r="A2327" s="49"/>
      <c r="B2327" s="49"/>
      <c r="C2327" s="49"/>
      <c r="D2327" s="49"/>
      <c r="E2327" s="49"/>
    </row>
    <row r="2328" spans="1:5">
      <c r="A2328" s="49"/>
      <c r="B2328" s="49"/>
      <c r="C2328" s="49"/>
      <c r="D2328" s="49"/>
      <c r="E2328" s="49"/>
    </row>
    <row r="2329" spans="1:5">
      <c r="A2329" s="49"/>
      <c r="B2329" s="49"/>
      <c r="C2329" s="49"/>
      <c r="D2329" s="49"/>
      <c r="E2329" s="49"/>
    </row>
    <row r="2330" spans="1:5">
      <c r="A2330" s="49"/>
      <c r="B2330" s="49"/>
      <c r="C2330" s="49"/>
      <c r="D2330" s="49"/>
      <c r="E2330" s="49"/>
    </row>
    <row r="2331" spans="1:5">
      <c r="A2331" s="49"/>
      <c r="B2331" s="49"/>
      <c r="C2331" s="49"/>
      <c r="D2331" s="49"/>
      <c r="E2331" s="49"/>
    </row>
    <row r="2332" spans="1:5">
      <c r="A2332" s="49"/>
      <c r="B2332" s="49"/>
      <c r="C2332" s="49"/>
      <c r="D2332" s="49"/>
      <c r="E2332" s="49"/>
    </row>
    <row r="2333" spans="1:5">
      <c r="A2333" s="49"/>
      <c r="B2333" s="49"/>
      <c r="C2333" s="49"/>
      <c r="D2333" s="49"/>
      <c r="E2333" s="49"/>
    </row>
    <row r="2334" spans="1:5">
      <c r="A2334" s="49"/>
      <c r="B2334" s="49"/>
      <c r="C2334" s="49"/>
      <c r="D2334" s="49"/>
      <c r="E2334" s="49"/>
    </row>
    <row r="2335" spans="1:5">
      <c r="A2335" s="49"/>
      <c r="B2335" s="49"/>
      <c r="C2335" s="49"/>
      <c r="D2335" s="49"/>
      <c r="E2335" s="49"/>
    </row>
    <row r="2336" spans="1:5">
      <c r="A2336" s="49"/>
      <c r="B2336" s="49"/>
      <c r="C2336" s="49"/>
      <c r="D2336" s="49"/>
      <c r="E2336" s="49"/>
    </row>
    <row r="2337" spans="1:5">
      <c r="A2337" s="49"/>
      <c r="B2337" s="49"/>
      <c r="C2337" s="49"/>
      <c r="D2337" s="49"/>
      <c r="E2337" s="49"/>
    </row>
    <row r="2338" spans="1:5">
      <c r="A2338" s="49"/>
      <c r="B2338" s="49"/>
      <c r="C2338" s="49"/>
      <c r="D2338" s="49"/>
      <c r="E2338" s="49"/>
    </row>
    <row r="2339" spans="1:5">
      <c r="A2339" s="49"/>
      <c r="B2339" s="49"/>
      <c r="C2339" s="49"/>
      <c r="D2339" s="49"/>
      <c r="E2339" s="49"/>
    </row>
    <row r="2340" spans="1:5">
      <c r="A2340" s="49"/>
      <c r="B2340" s="49"/>
      <c r="C2340" s="49"/>
      <c r="D2340" s="49"/>
      <c r="E2340" s="49"/>
    </row>
    <row r="2341" spans="1:5">
      <c r="A2341" s="49"/>
      <c r="B2341" s="49"/>
      <c r="C2341" s="49"/>
      <c r="D2341" s="49"/>
      <c r="E2341" s="49"/>
    </row>
    <row r="2342" spans="1:5">
      <c r="A2342" s="49"/>
      <c r="B2342" s="49"/>
      <c r="C2342" s="49"/>
      <c r="D2342" s="49"/>
      <c r="E2342" s="49"/>
    </row>
    <row r="2343" spans="1:5">
      <c r="A2343" s="49"/>
      <c r="B2343" s="49"/>
      <c r="C2343" s="49"/>
      <c r="D2343" s="49"/>
      <c r="E2343" s="49"/>
    </row>
    <row r="2344" spans="1:5">
      <c r="A2344" s="49"/>
      <c r="B2344" s="49"/>
      <c r="C2344" s="49"/>
      <c r="D2344" s="49"/>
      <c r="E2344" s="49"/>
    </row>
    <row r="2345" spans="1:5">
      <c r="A2345" s="49"/>
      <c r="B2345" s="49"/>
      <c r="C2345" s="49"/>
      <c r="D2345" s="49"/>
      <c r="E2345" s="49"/>
    </row>
    <row r="2346" spans="1:5">
      <c r="A2346" s="49"/>
      <c r="B2346" s="49"/>
      <c r="C2346" s="49"/>
      <c r="D2346" s="49"/>
      <c r="E2346" s="49"/>
    </row>
    <row r="2347" spans="1:5">
      <c r="A2347" s="49"/>
      <c r="B2347" s="49"/>
      <c r="C2347" s="49"/>
      <c r="D2347" s="49"/>
      <c r="E2347" s="49"/>
    </row>
    <row r="2348" spans="1:5">
      <c r="A2348" s="49"/>
      <c r="B2348" s="49"/>
      <c r="C2348" s="49"/>
      <c r="D2348" s="49"/>
      <c r="E2348" s="49"/>
    </row>
    <row r="2349" spans="1:5">
      <c r="A2349" s="49"/>
      <c r="B2349" s="49"/>
      <c r="C2349" s="49"/>
      <c r="D2349" s="49"/>
      <c r="E2349" s="49"/>
    </row>
    <row r="2350" spans="1:5">
      <c r="A2350" s="49"/>
      <c r="B2350" s="49"/>
      <c r="C2350" s="49"/>
      <c r="D2350" s="49"/>
      <c r="E2350" s="49"/>
    </row>
    <row r="2351" spans="1:5">
      <c r="A2351" s="49"/>
      <c r="B2351" s="49"/>
      <c r="C2351" s="49"/>
      <c r="D2351" s="49"/>
      <c r="E2351" s="49"/>
    </row>
    <row r="2352" spans="1:5">
      <c r="A2352" s="49"/>
      <c r="B2352" s="49"/>
      <c r="C2352" s="49"/>
      <c r="D2352" s="49"/>
      <c r="E2352" s="49"/>
    </row>
    <row r="2353" spans="1:5">
      <c r="A2353" s="49"/>
      <c r="B2353" s="49"/>
      <c r="C2353" s="49"/>
      <c r="D2353" s="49"/>
      <c r="E2353" s="49"/>
    </row>
    <row r="2354" spans="1:5">
      <c r="A2354" s="49"/>
      <c r="B2354" s="49"/>
      <c r="C2354" s="49"/>
      <c r="D2354" s="49"/>
      <c r="E2354" s="49"/>
    </row>
    <row r="2355" spans="1:5">
      <c r="A2355" s="49"/>
      <c r="B2355" s="49"/>
      <c r="C2355" s="49"/>
      <c r="D2355" s="49"/>
      <c r="E2355" s="49"/>
    </row>
    <row r="2356" spans="1:5">
      <c r="A2356" s="49"/>
      <c r="B2356" s="49"/>
      <c r="C2356" s="49"/>
      <c r="D2356" s="49"/>
      <c r="E2356" s="49"/>
    </row>
    <row r="2357" spans="1:5">
      <c r="A2357" s="49"/>
      <c r="B2357" s="49"/>
      <c r="C2357" s="49"/>
      <c r="D2357" s="49"/>
      <c r="E2357" s="49"/>
    </row>
    <row r="2358" spans="1:5">
      <c r="A2358" s="49"/>
      <c r="B2358" s="49"/>
      <c r="C2358" s="49"/>
      <c r="D2358" s="49"/>
      <c r="E2358" s="49"/>
    </row>
    <row r="2359" spans="1:5">
      <c r="A2359" s="49"/>
      <c r="B2359" s="49"/>
      <c r="C2359" s="49"/>
      <c r="D2359" s="49"/>
      <c r="E2359" s="49"/>
    </row>
    <row r="2360" spans="1:5">
      <c r="A2360" s="49"/>
      <c r="B2360" s="49"/>
      <c r="C2360" s="49"/>
      <c r="D2360" s="49"/>
      <c r="E2360" s="49"/>
    </row>
    <row r="2361" spans="1:5">
      <c r="A2361" s="49"/>
      <c r="B2361" s="49"/>
      <c r="C2361" s="49"/>
      <c r="D2361" s="49"/>
      <c r="E2361" s="49"/>
    </row>
    <row r="2362" spans="1:5">
      <c r="A2362" s="49"/>
      <c r="B2362" s="49"/>
      <c r="C2362" s="49"/>
      <c r="D2362" s="49"/>
      <c r="E2362" s="49"/>
    </row>
    <row r="2363" spans="1:5">
      <c r="A2363" s="49"/>
      <c r="B2363" s="49"/>
      <c r="C2363" s="49"/>
      <c r="D2363" s="49"/>
      <c r="E2363" s="49"/>
    </row>
    <row r="2364" spans="1:5">
      <c r="A2364" s="49"/>
      <c r="B2364" s="49"/>
      <c r="C2364" s="49"/>
      <c r="D2364" s="49"/>
      <c r="E2364" s="49"/>
    </row>
    <row r="2365" spans="1:5">
      <c r="A2365" s="49"/>
      <c r="B2365" s="49"/>
      <c r="C2365" s="49"/>
      <c r="D2365" s="49"/>
      <c r="E2365" s="49"/>
    </row>
    <row r="2366" spans="1:5">
      <c r="A2366" s="49"/>
      <c r="B2366" s="49"/>
      <c r="C2366" s="49"/>
      <c r="D2366" s="49"/>
      <c r="E2366" s="49"/>
    </row>
    <row r="2367" spans="1:5">
      <c r="A2367" s="49"/>
      <c r="B2367" s="49"/>
      <c r="C2367" s="49"/>
      <c r="D2367" s="49"/>
      <c r="E2367" s="49"/>
    </row>
    <row r="2368" spans="1:5">
      <c r="A2368" s="49"/>
      <c r="B2368" s="49"/>
      <c r="C2368" s="49"/>
      <c r="D2368" s="49"/>
      <c r="E2368" s="49"/>
    </row>
    <row r="2369" spans="1:5">
      <c r="A2369" s="49"/>
      <c r="B2369" s="49"/>
      <c r="C2369" s="49"/>
      <c r="D2369" s="49"/>
      <c r="E2369" s="49"/>
    </row>
    <row r="2370" spans="1:5">
      <c r="A2370" s="49"/>
      <c r="B2370" s="49"/>
      <c r="C2370" s="49"/>
      <c r="D2370" s="49"/>
      <c r="E2370" s="49"/>
    </row>
    <row r="2371" spans="1:5">
      <c r="A2371" s="49"/>
      <c r="B2371" s="49"/>
      <c r="C2371" s="49"/>
      <c r="D2371" s="49"/>
      <c r="E2371" s="49"/>
    </row>
    <row r="2372" spans="1:5">
      <c r="A2372" s="49"/>
      <c r="B2372" s="49"/>
      <c r="C2372" s="49"/>
      <c r="D2372" s="49"/>
      <c r="E2372" s="49"/>
    </row>
    <row r="2373" spans="1:5">
      <c r="A2373" s="49"/>
      <c r="B2373" s="49"/>
      <c r="C2373" s="49"/>
      <c r="D2373" s="49"/>
      <c r="E2373" s="49"/>
    </row>
    <row r="2374" spans="1:5">
      <c r="A2374" s="49"/>
      <c r="B2374" s="49"/>
      <c r="C2374" s="49"/>
      <c r="D2374" s="49"/>
      <c r="E2374" s="49"/>
    </row>
    <row r="2375" spans="1:5">
      <c r="A2375" s="49"/>
      <c r="B2375" s="49"/>
      <c r="C2375" s="49"/>
      <c r="D2375" s="49"/>
      <c r="E2375" s="49"/>
    </row>
    <row r="2376" spans="1:5">
      <c r="A2376" s="49"/>
      <c r="B2376" s="49"/>
      <c r="C2376" s="49"/>
      <c r="D2376" s="49"/>
      <c r="E2376" s="49"/>
    </row>
    <row r="2377" spans="1:5">
      <c r="A2377" s="49"/>
      <c r="B2377" s="49"/>
      <c r="C2377" s="49"/>
      <c r="D2377" s="49"/>
      <c r="E2377" s="49"/>
    </row>
    <row r="2378" spans="1:5">
      <c r="A2378" s="49"/>
      <c r="B2378" s="49"/>
      <c r="C2378" s="49"/>
      <c r="D2378" s="49"/>
      <c r="E2378" s="49"/>
    </row>
    <row r="2379" spans="1:5">
      <c r="A2379" s="49"/>
      <c r="B2379" s="49"/>
      <c r="C2379" s="49"/>
      <c r="D2379" s="49"/>
      <c r="E2379" s="49"/>
    </row>
    <row r="2380" spans="1:5">
      <c r="A2380" s="49"/>
      <c r="B2380" s="49"/>
      <c r="C2380" s="49"/>
      <c r="D2380" s="49"/>
      <c r="E2380" s="49"/>
    </row>
    <row r="2381" spans="1:5">
      <c r="A2381" s="49"/>
      <c r="B2381" s="49"/>
      <c r="C2381" s="49"/>
      <c r="D2381" s="49"/>
      <c r="E2381" s="49"/>
    </row>
    <row r="2382" spans="1:5">
      <c r="A2382" s="49"/>
      <c r="B2382" s="49"/>
      <c r="C2382" s="49"/>
      <c r="D2382" s="49"/>
      <c r="E2382" s="49"/>
    </row>
    <row r="2383" spans="1:5">
      <c r="A2383" s="49"/>
      <c r="B2383" s="49"/>
      <c r="C2383" s="49"/>
      <c r="D2383" s="49"/>
      <c r="E2383" s="49"/>
    </row>
    <row r="2384" spans="1:5">
      <c r="A2384" s="49"/>
      <c r="B2384" s="49"/>
      <c r="C2384" s="49"/>
      <c r="D2384" s="49"/>
      <c r="E2384" s="49"/>
    </row>
    <row r="2385" spans="1:5">
      <c r="A2385" s="49"/>
      <c r="B2385" s="49"/>
      <c r="C2385" s="49"/>
      <c r="D2385" s="49"/>
      <c r="E2385" s="49"/>
    </row>
    <row r="2386" spans="1:5">
      <c r="A2386" s="49"/>
      <c r="B2386" s="49"/>
      <c r="C2386" s="49"/>
      <c r="D2386" s="49"/>
      <c r="E2386" s="49"/>
    </row>
    <row r="2387" spans="1:5">
      <c r="A2387" s="49"/>
      <c r="B2387" s="49"/>
      <c r="C2387" s="49"/>
      <c r="D2387" s="49"/>
      <c r="E2387" s="49"/>
    </row>
    <row r="2388" spans="1:5">
      <c r="A2388" s="49"/>
      <c r="B2388" s="49"/>
      <c r="C2388" s="49"/>
      <c r="D2388" s="49"/>
      <c r="E2388" s="49"/>
    </row>
    <row r="2389" spans="1:5">
      <c r="A2389" s="49"/>
      <c r="B2389" s="49"/>
      <c r="C2389" s="49"/>
      <c r="D2389" s="49"/>
      <c r="E2389" s="49"/>
    </row>
    <row r="2390" spans="1:5">
      <c r="A2390" s="49"/>
      <c r="B2390" s="49"/>
      <c r="C2390" s="49"/>
      <c r="D2390" s="49"/>
      <c r="E2390" s="49"/>
    </row>
    <row r="2391" spans="1:5">
      <c r="A2391" s="49"/>
      <c r="B2391" s="49"/>
      <c r="C2391" s="49"/>
      <c r="D2391" s="49"/>
      <c r="E2391" s="49"/>
    </row>
    <row r="2392" spans="1:5">
      <c r="A2392" s="49"/>
      <c r="B2392" s="49"/>
      <c r="C2392" s="49"/>
      <c r="D2392" s="49"/>
      <c r="E2392" s="49"/>
    </row>
    <row r="2393" spans="1:5">
      <c r="A2393" s="49"/>
      <c r="B2393" s="49"/>
      <c r="C2393" s="49"/>
      <c r="D2393" s="49"/>
      <c r="E2393" s="49"/>
    </row>
    <row r="2394" spans="1:5">
      <c r="A2394" s="49"/>
      <c r="B2394" s="49"/>
      <c r="C2394" s="49"/>
      <c r="D2394" s="49"/>
      <c r="E2394" s="49"/>
    </row>
    <row r="2395" spans="1:5">
      <c r="A2395" s="49"/>
      <c r="B2395" s="49"/>
      <c r="C2395" s="49"/>
      <c r="D2395" s="49"/>
      <c r="E2395" s="49"/>
    </row>
    <row r="2396" spans="1:5">
      <c r="A2396" s="49"/>
      <c r="B2396" s="49"/>
      <c r="C2396" s="49"/>
      <c r="D2396" s="49"/>
      <c r="E2396" s="49"/>
    </row>
    <row r="2397" spans="1:5">
      <c r="A2397" s="49"/>
      <c r="B2397" s="49"/>
      <c r="C2397" s="49"/>
      <c r="D2397" s="49"/>
      <c r="E2397" s="49"/>
    </row>
    <row r="2398" spans="1:5">
      <c r="A2398" s="49"/>
      <c r="B2398" s="49"/>
      <c r="C2398" s="49"/>
      <c r="D2398" s="49"/>
      <c r="E2398" s="49"/>
    </row>
    <row r="2399" spans="1:5">
      <c r="A2399" s="49"/>
      <c r="B2399" s="49"/>
      <c r="C2399" s="49"/>
      <c r="D2399" s="49"/>
      <c r="E2399" s="49"/>
    </row>
    <row r="2400" spans="1:5">
      <c r="A2400" s="49"/>
      <c r="B2400" s="49"/>
      <c r="C2400" s="49"/>
      <c r="D2400" s="49"/>
      <c r="E2400" s="49"/>
    </row>
    <row r="2401" spans="1:5">
      <c r="A2401" s="49"/>
      <c r="B2401" s="49"/>
      <c r="C2401" s="49"/>
      <c r="D2401" s="49"/>
      <c r="E2401" s="49"/>
    </row>
    <row r="2402" spans="1:5">
      <c r="A2402" s="49"/>
      <c r="B2402" s="49"/>
      <c r="C2402" s="49"/>
      <c r="D2402" s="49"/>
      <c r="E2402" s="49"/>
    </row>
    <row r="2403" spans="1:5">
      <c r="A2403" s="49"/>
      <c r="B2403" s="49"/>
      <c r="C2403" s="49"/>
      <c r="D2403" s="49"/>
      <c r="E2403" s="49"/>
    </row>
    <row r="2404" spans="1:5">
      <c r="A2404" s="49"/>
      <c r="B2404" s="49"/>
      <c r="C2404" s="49"/>
      <c r="D2404" s="49"/>
      <c r="E2404" s="49"/>
    </row>
    <row r="2405" spans="1:5">
      <c r="A2405" s="49"/>
      <c r="B2405" s="49"/>
      <c r="C2405" s="49"/>
      <c r="D2405" s="49"/>
      <c r="E2405" s="49"/>
    </row>
    <row r="2406" spans="1:5">
      <c r="A2406" s="49"/>
      <c r="B2406" s="49"/>
      <c r="C2406" s="49"/>
      <c r="D2406" s="49"/>
      <c r="E2406" s="49"/>
    </row>
    <row r="2407" spans="1:5">
      <c r="A2407" s="49"/>
      <c r="B2407" s="49"/>
      <c r="C2407" s="49"/>
      <c r="D2407" s="49"/>
      <c r="E2407" s="49"/>
    </row>
    <row r="2408" spans="1:5">
      <c r="A2408" s="49"/>
      <c r="B2408" s="49"/>
      <c r="C2408" s="49"/>
      <c r="D2408" s="49"/>
      <c r="E2408" s="49"/>
    </row>
    <row r="2409" spans="1:5">
      <c r="A2409" s="49"/>
      <c r="B2409" s="49"/>
      <c r="C2409" s="49"/>
      <c r="D2409" s="49"/>
      <c r="E2409" s="49"/>
    </row>
    <row r="2410" spans="1:5">
      <c r="A2410" s="49"/>
      <c r="B2410" s="49"/>
      <c r="C2410" s="49"/>
      <c r="D2410" s="49"/>
      <c r="E2410" s="49"/>
    </row>
    <row r="2411" spans="1:5">
      <c r="A2411" s="49"/>
      <c r="B2411" s="49"/>
      <c r="C2411" s="49"/>
      <c r="D2411" s="49"/>
      <c r="E2411" s="49"/>
    </row>
    <row r="2412" spans="1:5">
      <c r="A2412" s="49"/>
      <c r="B2412" s="49"/>
      <c r="C2412" s="49"/>
      <c r="D2412" s="49"/>
      <c r="E2412" s="49"/>
    </row>
    <row r="2413" spans="1:5">
      <c r="A2413" s="49"/>
      <c r="B2413" s="49"/>
      <c r="C2413" s="49"/>
      <c r="D2413" s="49"/>
      <c r="E2413" s="49"/>
    </row>
    <row r="2414" spans="1:5">
      <c r="A2414" s="49"/>
      <c r="B2414" s="49"/>
      <c r="C2414" s="49"/>
      <c r="D2414" s="49"/>
      <c r="E2414" s="49"/>
    </row>
    <row r="2415" spans="1:5">
      <c r="A2415" s="49"/>
      <c r="B2415" s="49"/>
      <c r="C2415" s="49"/>
      <c r="D2415" s="49"/>
      <c r="E2415" s="49"/>
    </row>
    <row r="2416" spans="1:5">
      <c r="A2416" s="49"/>
      <c r="B2416" s="49"/>
      <c r="C2416" s="49"/>
      <c r="D2416" s="49"/>
      <c r="E2416" s="49"/>
    </row>
    <row r="2417" spans="1:5">
      <c r="A2417" s="49"/>
      <c r="B2417" s="49"/>
      <c r="C2417" s="49"/>
      <c r="D2417" s="49"/>
      <c r="E2417" s="49"/>
    </row>
    <row r="2418" spans="1:5">
      <c r="A2418" s="49"/>
      <c r="B2418" s="49"/>
      <c r="C2418" s="49"/>
      <c r="D2418" s="49"/>
      <c r="E2418" s="49"/>
    </row>
    <row r="2419" spans="1:5">
      <c r="A2419" s="49"/>
      <c r="B2419" s="49"/>
      <c r="C2419" s="49"/>
      <c r="D2419" s="49"/>
      <c r="E2419" s="49"/>
    </row>
    <row r="2420" spans="1:5">
      <c r="A2420" s="49"/>
      <c r="B2420" s="49"/>
      <c r="C2420" s="49"/>
      <c r="D2420" s="49"/>
      <c r="E2420" s="49"/>
    </row>
    <row r="2421" spans="1:5">
      <c r="A2421" s="49"/>
      <c r="B2421" s="49"/>
      <c r="C2421" s="49"/>
      <c r="D2421" s="49"/>
      <c r="E2421" s="49"/>
    </row>
    <row r="2422" spans="1:5">
      <c r="A2422" s="49"/>
      <c r="B2422" s="49"/>
      <c r="C2422" s="49"/>
      <c r="D2422" s="49"/>
      <c r="E2422" s="49"/>
    </row>
    <row r="2423" spans="1:5">
      <c r="A2423" s="49"/>
      <c r="B2423" s="49"/>
      <c r="C2423" s="49"/>
      <c r="D2423" s="49"/>
      <c r="E2423" s="49"/>
    </row>
    <row r="2424" spans="1:5">
      <c r="A2424" s="49"/>
      <c r="B2424" s="49"/>
      <c r="C2424" s="49"/>
      <c r="D2424" s="49"/>
      <c r="E2424" s="49"/>
    </row>
    <row r="2425" spans="1:5">
      <c r="A2425" s="49"/>
      <c r="B2425" s="49"/>
      <c r="C2425" s="49"/>
      <c r="D2425" s="49"/>
      <c r="E2425" s="49"/>
    </row>
    <row r="2426" spans="1:5">
      <c r="A2426" s="49"/>
      <c r="B2426" s="49"/>
      <c r="C2426" s="49"/>
      <c r="D2426" s="49"/>
      <c r="E2426" s="49"/>
    </row>
    <row r="2427" spans="1:5">
      <c r="A2427" s="49"/>
      <c r="B2427" s="49"/>
      <c r="C2427" s="49"/>
      <c r="D2427" s="49"/>
      <c r="E2427" s="49"/>
    </row>
    <row r="2428" spans="1:5">
      <c r="A2428" s="49"/>
      <c r="B2428" s="49"/>
      <c r="C2428" s="49"/>
      <c r="D2428" s="49"/>
      <c r="E2428" s="49"/>
    </row>
    <row r="2429" spans="1:5">
      <c r="A2429" s="49"/>
      <c r="B2429" s="49"/>
      <c r="C2429" s="49"/>
      <c r="D2429" s="49"/>
      <c r="E2429" s="49"/>
    </row>
    <row r="2430" spans="1:5">
      <c r="A2430" s="49"/>
      <c r="B2430" s="49"/>
      <c r="C2430" s="49"/>
      <c r="D2430" s="49"/>
      <c r="E2430" s="49"/>
    </row>
    <row r="2431" spans="1:5">
      <c r="A2431" s="49"/>
      <c r="B2431" s="49"/>
      <c r="C2431" s="49"/>
      <c r="D2431" s="49"/>
      <c r="E2431" s="49"/>
    </row>
    <row r="2432" spans="1:5">
      <c r="A2432" s="49"/>
      <c r="B2432" s="49"/>
      <c r="C2432" s="49"/>
      <c r="D2432" s="49"/>
      <c r="E2432" s="49"/>
    </row>
    <row r="2433" spans="1:5">
      <c r="A2433" s="49"/>
      <c r="B2433" s="49"/>
      <c r="C2433" s="49"/>
      <c r="D2433" s="49"/>
      <c r="E2433" s="49"/>
    </row>
    <row r="2434" spans="1:5">
      <c r="A2434" s="49"/>
      <c r="B2434" s="49"/>
      <c r="C2434" s="49"/>
      <c r="D2434" s="49"/>
      <c r="E2434" s="49"/>
    </row>
    <row r="2435" spans="1:5">
      <c r="A2435" s="49"/>
      <c r="B2435" s="49"/>
      <c r="C2435" s="49"/>
      <c r="D2435" s="49"/>
      <c r="E2435" s="49"/>
    </row>
    <row r="2436" spans="1:5">
      <c r="A2436" s="49"/>
      <c r="B2436" s="49"/>
      <c r="C2436" s="49"/>
      <c r="D2436" s="49"/>
      <c r="E2436" s="49"/>
    </row>
    <row r="2437" spans="1:5">
      <c r="A2437" s="49"/>
      <c r="B2437" s="49"/>
      <c r="C2437" s="49"/>
      <c r="D2437" s="49"/>
      <c r="E2437" s="49"/>
    </row>
    <row r="2438" spans="1:5">
      <c r="A2438" s="49"/>
      <c r="B2438" s="49"/>
      <c r="C2438" s="49"/>
      <c r="D2438" s="49"/>
      <c r="E2438" s="49"/>
    </row>
    <row r="2439" spans="1:5">
      <c r="A2439" s="49"/>
      <c r="B2439" s="49"/>
      <c r="C2439" s="49"/>
      <c r="D2439" s="49"/>
      <c r="E2439" s="49"/>
    </row>
    <row r="2440" spans="1:5">
      <c r="A2440" s="49"/>
      <c r="B2440" s="49"/>
      <c r="C2440" s="49"/>
      <c r="D2440" s="49"/>
      <c r="E2440" s="49"/>
    </row>
    <row r="2441" spans="1:5">
      <c r="A2441" s="49"/>
      <c r="B2441" s="49"/>
      <c r="C2441" s="49"/>
      <c r="D2441" s="49"/>
      <c r="E2441" s="49"/>
    </row>
    <row r="2442" spans="1:5">
      <c r="A2442" s="49"/>
      <c r="B2442" s="49"/>
      <c r="C2442" s="49"/>
      <c r="D2442" s="49"/>
      <c r="E2442" s="49"/>
    </row>
    <row r="2443" spans="1:5">
      <c r="A2443" s="49"/>
      <c r="B2443" s="49"/>
      <c r="C2443" s="49"/>
      <c r="D2443" s="49"/>
      <c r="E2443" s="49"/>
    </row>
    <row r="2444" spans="1:5">
      <c r="A2444" s="49"/>
      <c r="B2444" s="49"/>
      <c r="C2444" s="49"/>
      <c r="D2444" s="49"/>
      <c r="E2444" s="49"/>
    </row>
    <row r="2445" spans="1:5">
      <c r="A2445" s="49"/>
      <c r="B2445" s="49"/>
      <c r="C2445" s="49"/>
      <c r="D2445" s="49"/>
      <c r="E2445" s="49"/>
    </row>
    <row r="2446" spans="1:5">
      <c r="A2446" s="49"/>
      <c r="B2446" s="49"/>
      <c r="C2446" s="49"/>
      <c r="D2446" s="49"/>
      <c r="E2446" s="49"/>
    </row>
    <row r="2447" spans="1:5">
      <c r="A2447" s="49"/>
      <c r="B2447" s="49"/>
      <c r="C2447" s="49"/>
      <c r="D2447" s="49"/>
      <c r="E2447" s="49"/>
    </row>
    <row r="2448" spans="1:5">
      <c r="A2448" s="49"/>
      <c r="B2448" s="49"/>
      <c r="C2448" s="49"/>
      <c r="D2448" s="49"/>
      <c r="E2448" s="49"/>
    </row>
    <row r="2449" spans="1:5">
      <c r="A2449" s="49"/>
      <c r="B2449" s="49"/>
      <c r="C2449" s="49"/>
      <c r="D2449" s="49"/>
      <c r="E2449" s="49"/>
    </row>
    <row r="2450" spans="1:5">
      <c r="A2450" s="49"/>
      <c r="B2450" s="49"/>
      <c r="C2450" s="49"/>
      <c r="D2450" s="49"/>
      <c r="E2450" s="49"/>
    </row>
    <row r="2451" spans="1:5">
      <c r="A2451" s="49"/>
      <c r="B2451" s="49"/>
      <c r="C2451" s="49"/>
      <c r="D2451" s="49"/>
      <c r="E2451" s="49"/>
    </row>
    <row r="2452" spans="1:5">
      <c r="A2452" s="49"/>
      <c r="B2452" s="49"/>
      <c r="C2452" s="49"/>
      <c r="D2452" s="49"/>
      <c r="E2452" s="49"/>
    </row>
    <row r="2453" spans="1:5">
      <c r="A2453" s="49"/>
      <c r="B2453" s="49"/>
      <c r="C2453" s="49"/>
      <c r="D2453" s="49"/>
      <c r="E2453" s="49"/>
    </row>
    <row r="2454" spans="1:5">
      <c r="A2454" s="49"/>
      <c r="B2454" s="49"/>
      <c r="C2454" s="49"/>
      <c r="D2454" s="49"/>
      <c r="E2454" s="49"/>
    </row>
    <row r="2455" spans="1:5">
      <c r="A2455" s="49"/>
      <c r="B2455" s="49"/>
      <c r="C2455" s="49"/>
      <c r="D2455" s="49"/>
      <c r="E2455" s="49"/>
    </row>
    <row r="2456" spans="1:5">
      <c r="A2456" s="49"/>
      <c r="B2456" s="49"/>
      <c r="C2456" s="49"/>
      <c r="D2456" s="49"/>
      <c r="E2456" s="49"/>
    </row>
    <row r="2457" spans="1:5">
      <c r="A2457" s="49"/>
      <c r="B2457" s="49"/>
      <c r="C2457" s="49"/>
      <c r="D2457" s="49"/>
      <c r="E2457" s="49"/>
    </row>
    <row r="2458" spans="1:5">
      <c r="A2458" s="49"/>
      <c r="B2458" s="49"/>
      <c r="C2458" s="49"/>
      <c r="D2458" s="49"/>
      <c r="E2458" s="49"/>
    </row>
    <row r="2459" spans="1:5">
      <c r="A2459" s="49"/>
      <c r="B2459" s="49"/>
      <c r="C2459" s="49"/>
      <c r="D2459" s="49"/>
      <c r="E2459" s="49"/>
    </row>
    <row r="2460" spans="1:5">
      <c r="A2460" s="49"/>
      <c r="B2460" s="49"/>
      <c r="C2460" s="49"/>
      <c r="D2460" s="49"/>
      <c r="E2460" s="49"/>
    </row>
    <row r="2461" spans="1:5">
      <c r="A2461" s="49"/>
      <c r="B2461" s="49"/>
      <c r="C2461" s="49"/>
      <c r="D2461" s="49"/>
      <c r="E2461" s="49"/>
    </row>
    <row r="2462" spans="1:5">
      <c r="A2462" s="49"/>
      <c r="B2462" s="49"/>
      <c r="C2462" s="49"/>
      <c r="D2462" s="49"/>
      <c r="E2462" s="49"/>
    </row>
    <row r="2463" spans="1:5">
      <c r="A2463" s="49"/>
      <c r="B2463" s="49"/>
      <c r="C2463" s="49"/>
      <c r="D2463" s="49"/>
      <c r="E2463" s="49"/>
    </row>
    <row r="2464" spans="1:5">
      <c r="A2464" s="49"/>
      <c r="B2464" s="49"/>
      <c r="C2464" s="49"/>
      <c r="D2464" s="49"/>
      <c r="E2464" s="49"/>
    </row>
    <row r="2465" spans="1:5">
      <c r="A2465" s="49"/>
      <c r="B2465" s="49"/>
      <c r="C2465" s="49"/>
      <c r="D2465" s="49"/>
      <c r="E2465" s="49"/>
    </row>
    <row r="2466" spans="1:5">
      <c r="A2466" s="49"/>
      <c r="B2466" s="49"/>
      <c r="C2466" s="49"/>
      <c r="D2466" s="49"/>
      <c r="E2466" s="49"/>
    </row>
    <row r="2467" spans="1:5">
      <c r="A2467" s="49"/>
      <c r="B2467" s="49"/>
      <c r="C2467" s="49"/>
      <c r="D2467" s="49"/>
      <c r="E2467" s="49"/>
    </row>
    <row r="2468" spans="1:5">
      <c r="A2468" s="49"/>
      <c r="B2468" s="49"/>
      <c r="C2468" s="49"/>
      <c r="D2468" s="49"/>
      <c r="E2468" s="49"/>
    </row>
    <row r="2469" spans="1:5">
      <c r="A2469" s="49"/>
      <c r="B2469" s="49"/>
      <c r="C2469" s="49"/>
      <c r="D2469" s="49"/>
      <c r="E2469" s="49"/>
    </row>
    <row r="2470" spans="1:5">
      <c r="A2470" s="49"/>
      <c r="B2470" s="49"/>
      <c r="C2470" s="49"/>
      <c r="D2470" s="49"/>
      <c r="E2470" s="49"/>
    </row>
    <row r="2471" spans="1:5">
      <c r="A2471" s="49"/>
      <c r="B2471" s="49"/>
      <c r="C2471" s="49"/>
      <c r="D2471" s="49"/>
      <c r="E2471" s="49"/>
    </row>
    <row r="2472" spans="1:5">
      <c r="A2472" s="49"/>
      <c r="B2472" s="49"/>
      <c r="C2472" s="49"/>
      <c r="D2472" s="49"/>
      <c r="E2472" s="49"/>
    </row>
    <row r="2473" spans="1:5">
      <c r="A2473" s="49"/>
      <c r="B2473" s="49"/>
      <c r="C2473" s="49"/>
      <c r="D2473" s="49"/>
      <c r="E2473" s="49"/>
    </row>
    <row r="2474" spans="1:5">
      <c r="A2474" s="49"/>
      <c r="B2474" s="49"/>
      <c r="C2474" s="49"/>
      <c r="D2474" s="49"/>
      <c r="E2474" s="49"/>
    </row>
    <row r="2475" spans="1:5">
      <c r="A2475" s="49"/>
      <c r="B2475" s="49"/>
      <c r="C2475" s="49"/>
      <c r="D2475" s="49"/>
      <c r="E2475" s="49"/>
    </row>
    <row r="2476" spans="1:5">
      <c r="A2476" s="49"/>
      <c r="B2476" s="49"/>
      <c r="C2476" s="49"/>
      <c r="D2476" s="49"/>
      <c r="E2476" s="49"/>
    </row>
    <row r="2477" spans="1:5">
      <c r="A2477" s="49"/>
      <c r="B2477" s="49"/>
      <c r="C2477" s="49"/>
      <c r="D2477" s="49"/>
      <c r="E2477" s="49"/>
    </row>
    <row r="2478" spans="1:5">
      <c r="A2478" s="49"/>
      <c r="B2478" s="49"/>
      <c r="C2478" s="49"/>
      <c r="D2478" s="49"/>
      <c r="E2478" s="49"/>
    </row>
    <row r="2479" spans="1:5">
      <c r="A2479" s="49"/>
      <c r="B2479" s="49"/>
      <c r="C2479" s="49"/>
      <c r="D2479" s="49"/>
      <c r="E2479" s="49"/>
    </row>
    <row r="2480" spans="1:5">
      <c r="A2480" s="49"/>
      <c r="B2480" s="49"/>
      <c r="C2480" s="49"/>
      <c r="D2480" s="49"/>
      <c r="E2480" s="49"/>
    </row>
    <row r="2481" spans="1:5">
      <c r="A2481" s="49"/>
      <c r="B2481" s="49"/>
      <c r="C2481" s="49"/>
      <c r="D2481" s="49"/>
      <c r="E2481" s="49"/>
    </row>
    <row r="2482" spans="1:5">
      <c r="A2482" s="49"/>
      <c r="B2482" s="49"/>
      <c r="C2482" s="49"/>
      <c r="D2482" s="49"/>
      <c r="E2482" s="49"/>
    </row>
    <row r="2483" spans="1:5">
      <c r="A2483" s="49"/>
      <c r="B2483" s="49"/>
      <c r="C2483" s="49"/>
      <c r="D2483" s="49"/>
      <c r="E2483" s="49"/>
    </row>
    <row r="2484" spans="1:5">
      <c r="A2484" s="49"/>
      <c r="B2484" s="49"/>
      <c r="C2484" s="49"/>
      <c r="D2484" s="49"/>
      <c r="E2484" s="49"/>
    </row>
    <row r="2485" spans="1:5">
      <c r="A2485" s="49"/>
      <c r="B2485" s="49"/>
      <c r="C2485" s="49"/>
      <c r="D2485" s="49"/>
      <c r="E2485" s="49"/>
    </row>
    <row r="2486" spans="1:5">
      <c r="A2486" s="49"/>
      <c r="B2486" s="49"/>
      <c r="C2486" s="49"/>
      <c r="D2486" s="49"/>
      <c r="E2486" s="49"/>
    </row>
    <row r="2487" spans="1:5">
      <c r="A2487" s="49"/>
      <c r="B2487" s="49"/>
      <c r="C2487" s="49"/>
      <c r="D2487" s="49"/>
      <c r="E2487" s="49"/>
    </row>
    <row r="2488" spans="1:5">
      <c r="A2488" s="49"/>
      <c r="B2488" s="49"/>
      <c r="C2488" s="49"/>
      <c r="D2488" s="49"/>
      <c r="E2488" s="49"/>
    </row>
    <row r="2489" spans="1:5">
      <c r="A2489" s="49"/>
      <c r="B2489" s="49"/>
      <c r="C2489" s="49"/>
      <c r="D2489" s="49"/>
      <c r="E2489" s="49"/>
    </row>
    <row r="2490" spans="1:5">
      <c r="A2490" s="49"/>
      <c r="B2490" s="49"/>
      <c r="C2490" s="49"/>
      <c r="D2490" s="49"/>
      <c r="E2490" s="49"/>
    </row>
    <row r="2491" spans="1:5">
      <c r="A2491" s="49"/>
      <c r="B2491" s="49"/>
      <c r="C2491" s="49"/>
      <c r="D2491" s="49"/>
      <c r="E2491" s="49"/>
    </row>
    <row r="2492" spans="1:5">
      <c r="A2492" s="49"/>
      <c r="B2492" s="49"/>
      <c r="C2492" s="49"/>
      <c r="D2492" s="49"/>
      <c r="E2492" s="49"/>
    </row>
    <row r="2493" spans="1:5">
      <c r="A2493" s="49"/>
      <c r="B2493" s="49"/>
      <c r="C2493" s="49"/>
      <c r="D2493" s="49"/>
      <c r="E2493" s="49"/>
    </row>
    <row r="2494" spans="1:5">
      <c r="A2494" s="49"/>
      <c r="B2494" s="49"/>
      <c r="C2494" s="49"/>
      <c r="D2494" s="49"/>
      <c r="E2494" s="49"/>
    </row>
    <row r="2495" spans="1:5">
      <c r="A2495" s="49"/>
      <c r="B2495" s="49"/>
      <c r="C2495" s="49"/>
      <c r="D2495" s="49"/>
      <c r="E2495" s="49"/>
    </row>
    <row r="2496" spans="1:5">
      <c r="A2496" s="49"/>
      <c r="B2496" s="49"/>
      <c r="C2496" s="49"/>
      <c r="D2496" s="49"/>
      <c r="E2496" s="49"/>
    </row>
    <row r="2497" spans="1:5">
      <c r="A2497" s="49"/>
      <c r="B2497" s="49"/>
      <c r="C2497" s="49"/>
      <c r="D2497" s="49"/>
      <c r="E2497" s="49"/>
    </row>
    <row r="2498" spans="1:5">
      <c r="A2498" s="49"/>
      <c r="B2498" s="49"/>
      <c r="C2498" s="49"/>
      <c r="D2498" s="49"/>
      <c r="E2498" s="49"/>
    </row>
    <row r="2499" spans="1:5">
      <c r="A2499" s="49"/>
      <c r="B2499" s="49"/>
      <c r="C2499" s="49"/>
      <c r="D2499" s="49"/>
      <c r="E2499" s="49"/>
    </row>
    <row r="2500" spans="1:5">
      <c r="A2500" s="49"/>
      <c r="B2500" s="49"/>
      <c r="C2500" s="49"/>
      <c r="D2500" s="49"/>
      <c r="E2500" s="49"/>
    </row>
    <row r="2501" spans="1:5">
      <c r="A2501" s="49"/>
      <c r="B2501" s="49"/>
      <c r="C2501" s="49"/>
      <c r="D2501" s="49"/>
      <c r="E2501" s="49"/>
    </row>
    <row r="2502" spans="1:5">
      <c r="A2502" s="49"/>
      <c r="B2502" s="49"/>
      <c r="C2502" s="49"/>
      <c r="D2502" s="49"/>
      <c r="E2502" s="49"/>
    </row>
    <row r="2503" spans="1:5">
      <c r="A2503" s="49"/>
      <c r="B2503" s="49"/>
      <c r="C2503" s="49"/>
      <c r="D2503" s="49"/>
      <c r="E2503" s="49"/>
    </row>
    <row r="2504" spans="1:5">
      <c r="A2504" s="49"/>
      <c r="B2504" s="49"/>
      <c r="C2504" s="49"/>
      <c r="D2504" s="49"/>
      <c r="E2504" s="49"/>
    </row>
    <row r="2505" spans="1:5">
      <c r="A2505" s="49"/>
      <c r="B2505" s="49"/>
      <c r="C2505" s="49"/>
      <c r="D2505" s="49"/>
      <c r="E2505" s="49"/>
    </row>
    <row r="2506" spans="1:5">
      <c r="A2506" s="49"/>
      <c r="B2506" s="49"/>
      <c r="C2506" s="49"/>
      <c r="D2506" s="49"/>
      <c r="E2506" s="49"/>
    </row>
    <row r="2507" spans="1:5">
      <c r="A2507" s="49"/>
      <c r="B2507" s="49"/>
      <c r="C2507" s="49"/>
      <c r="D2507" s="49"/>
      <c r="E2507" s="49"/>
    </row>
    <row r="2508" spans="1:5">
      <c r="A2508" s="49"/>
      <c r="B2508" s="49"/>
      <c r="C2508" s="49"/>
      <c r="D2508" s="49"/>
      <c r="E2508" s="49"/>
    </row>
    <row r="2509" spans="1:5">
      <c r="A2509" s="49"/>
      <c r="B2509" s="49"/>
      <c r="C2509" s="49"/>
      <c r="D2509" s="49"/>
      <c r="E2509" s="49"/>
    </row>
    <row r="2510" spans="1:5">
      <c r="A2510" s="49"/>
      <c r="B2510" s="49"/>
      <c r="C2510" s="49"/>
      <c r="D2510" s="49"/>
      <c r="E2510" s="49"/>
    </row>
    <row r="2511" spans="1:5">
      <c r="A2511" s="49"/>
      <c r="B2511" s="49"/>
      <c r="C2511" s="49"/>
      <c r="D2511" s="49"/>
      <c r="E2511" s="49"/>
    </row>
    <row r="2512" spans="1:5">
      <c r="A2512" s="49"/>
      <c r="B2512" s="49"/>
      <c r="C2512" s="49"/>
      <c r="D2512" s="49"/>
      <c r="E2512" s="49"/>
    </row>
    <row r="2513" spans="1:5">
      <c r="A2513" s="49"/>
      <c r="B2513" s="49"/>
      <c r="C2513" s="49"/>
      <c r="D2513" s="49"/>
      <c r="E2513" s="49"/>
    </row>
    <row r="2514" spans="1:5">
      <c r="A2514" s="49"/>
      <c r="B2514" s="49"/>
      <c r="C2514" s="49"/>
      <c r="D2514" s="49"/>
      <c r="E2514" s="49"/>
    </row>
    <row r="2515" spans="1:5">
      <c r="A2515" s="49"/>
      <c r="B2515" s="49"/>
      <c r="C2515" s="49"/>
      <c r="D2515" s="49"/>
      <c r="E2515" s="49"/>
    </row>
    <row r="2516" spans="1:5">
      <c r="A2516" s="49"/>
      <c r="B2516" s="49"/>
      <c r="C2516" s="49"/>
      <c r="D2516" s="49"/>
      <c r="E2516" s="49"/>
    </row>
    <row r="2517" spans="1:5">
      <c r="A2517" s="49"/>
      <c r="B2517" s="49"/>
      <c r="C2517" s="49"/>
      <c r="D2517" s="49"/>
      <c r="E2517" s="49"/>
    </row>
    <row r="2518" spans="1:5">
      <c r="A2518" s="49"/>
      <c r="B2518" s="49"/>
      <c r="C2518" s="49"/>
      <c r="D2518" s="49"/>
      <c r="E2518" s="49"/>
    </row>
    <row r="2519" spans="1:5">
      <c r="A2519" s="49"/>
      <c r="B2519" s="49"/>
      <c r="C2519" s="49"/>
      <c r="D2519" s="49"/>
      <c r="E2519" s="49"/>
    </row>
    <row r="2520" spans="1:5">
      <c r="A2520" s="49"/>
      <c r="B2520" s="49"/>
      <c r="C2520" s="49"/>
      <c r="D2520" s="49"/>
      <c r="E2520" s="49"/>
    </row>
    <row r="2521" spans="1:5">
      <c r="A2521" s="49"/>
      <c r="B2521" s="49"/>
      <c r="C2521" s="49"/>
      <c r="D2521" s="49"/>
      <c r="E2521" s="49"/>
    </row>
    <row r="2522" spans="1:5">
      <c r="A2522" s="49"/>
      <c r="B2522" s="49"/>
      <c r="C2522" s="49"/>
      <c r="D2522" s="49"/>
      <c r="E2522" s="49"/>
    </row>
    <row r="2523" spans="1:5">
      <c r="A2523" s="49"/>
      <c r="B2523" s="49"/>
      <c r="C2523" s="49"/>
      <c r="D2523" s="49"/>
      <c r="E2523" s="49"/>
    </row>
    <row r="2524" spans="1:5">
      <c r="A2524" s="49"/>
      <c r="B2524" s="49"/>
      <c r="C2524" s="49"/>
      <c r="D2524" s="49"/>
      <c r="E2524" s="49"/>
    </row>
    <row r="2525" spans="1:5">
      <c r="A2525" s="49"/>
      <c r="B2525" s="49"/>
      <c r="C2525" s="49"/>
      <c r="D2525" s="49"/>
      <c r="E2525" s="49"/>
    </row>
    <row r="2526" spans="1:5">
      <c r="A2526" s="49"/>
      <c r="B2526" s="49"/>
      <c r="C2526" s="49"/>
      <c r="D2526" s="49"/>
      <c r="E2526" s="49"/>
    </row>
    <row r="2527" spans="1:5">
      <c r="A2527" s="49"/>
      <c r="B2527" s="49"/>
      <c r="C2527" s="49"/>
      <c r="D2527" s="49"/>
      <c r="E2527" s="49"/>
    </row>
    <row r="2528" spans="1:5">
      <c r="A2528" s="49"/>
      <c r="B2528" s="49"/>
      <c r="C2528" s="49"/>
      <c r="D2528" s="49"/>
      <c r="E2528" s="49"/>
    </row>
    <row r="2529" spans="1:5">
      <c r="A2529" s="49"/>
      <c r="B2529" s="49"/>
      <c r="C2529" s="49"/>
      <c r="D2529" s="49"/>
      <c r="E2529" s="49"/>
    </row>
    <row r="2530" spans="1:5">
      <c r="A2530" s="49"/>
      <c r="B2530" s="49"/>
      <c r="C2530" s="49"/>
      <c r="D2530" s="49"/>
      <c r="E2530" s="49"/>
    </row>
    <row r="2531" spans="1:5">
      <c r="A2531" s="49"/>
      <c r="B2531" s="49"/>
      <c r="C2531" s="49"/>
      <c r="D2531" s="49"/>
      <c r="E2531" s="49"/>
    </row>
    <row r="2532" spans="1:5">
      <c r="A2532" s="49"/>
      <c r="B2532" s="49"/>
      <c r="C2532" s="49"/>
      <c r="D2532" s="49"/>
      <c r="E2532" s="49"/>
    </row>
    <row r="2533" spans="1:5">
      <c r="A2533" s="49"/>
      <c r="B2533" s="49"/>
      <c r="C2533" s="49"/>
      <c r="D2533" s="49"/>
      <c r="E2533" s="49"/>
    </row>
    <row r="2534" spans="1:5">
      <c r="A2534" s="49"/>
      <c r="B2534" s="49"/>
      <c r="C2534" s="49"/>
      <c r="D2534" s="49"/>
      <c r="E2534" s="49"/>
    </row>
    <row r="2535" spans="1:5">
      <c r="A2535" s="49"/>
      <c r="B2535" s="49"/>
      <c r="C2535" s="49"/>
      <c r="D2535" s="49"/>
      <c r="E2535" s="49"/>
    </row>
    <row r="2536" spans="1:5">
      <c r="A2536" s="49"/>
      <c r="B2536" s="49"/>
      <c r="C2536" s="49"/>
      <c r="D2536" s="49"/>
      <c r="E2536" s="49"/>
    </row>
    <row r="2537" spans="1:5">
      <c r="A2537" s="49"/>
      <c r="B2537" s="49"/>
      <c r="C2537" s="49"/>
      <c r="D2537" s="49"/>
      <c r="E2537" s="49"/>
    </row>
    <row r="2538" spans="1:5">
      <c r="A2538" s="49"/>
      <c r="B2538" s="49"/>
      <c r="C2538" s="49"/>
      <c r="D2538" s="49"/>
      <c r="E2538" s="49"/>
    </row>
    <row r="2539" spans="1:5">
      <c r="A2539" s="49"/>
      <c r="B2539" s="49"/>
      <c r="C2539" s="49"/>
      <c r="D2539" s="49"/>
      <c r="E2539" s="49"/>
    </row>
    <row r="2540" spans="1:5">
      <c r="A2540" s="49"/>
      <c r="B2540" s="49"/>
      <c r="C2540" s="49"/>
      <c r="D2540" s="49"/>
      <c r="E2540" s="49"/>
    </row>
    <row r="2541" spans="1:5">
      <c r="A2541" s="49"/>
      <c r="B2541" s="49"/>
      <c r="C2541" s="49"/>
      <c r="D2541" s="49"/>
      <c r="E2541" s="49"/>
    </row>
    <row r="2542" spans="1:5">
      <c r="A2542" s="49"/>
      <c r="B2542" s="49"/>
      <c r="C2542" s="49"/>
      <c r="D2542" s="49"/>
      <c r="E2542" s="49"/>
    </row>
    <row r="2543" spans="1:5">
      <c r="A2543" s="49"/>
      <c r="B2543" s="49"/>
      <c r="C2543" s="49"/>
      <c r="D2543" s="49"/>
      <c r="E2543" s="49"/>
    </row>
    <row r="2544" spans="1:5">
      <c r="A2544" s="49"/>
      <c r="B2544" s="49"/>
      <c r="C2544" s="49"/>
      <c r="D2544" s="49"/>
      <c r="E2544" s="49"/>
    </row>
    <row r="2545" spans="1:5">
      <c r="A2545" s="49"/>
      <c r="B2545" s="49"/>
      <c r="C2545" s="49"/>
      <c r="D2545" s="49"/>
      <c r="E2545" s="49"/>
    </row>
    <row r="2546" spans="1:5">
      <c r="A2546" s="49"/>
      <c r="B2546" s="49"/>
      <c r="C2546" s="49"/>
      <c r="D2546" s="49"/>
      <c r="E2546" s="49"/>
    </row>
    <row r="2547" spans="1:5">
      <c r="A2547" s="49"/>
      <c r="B2547" s="49"/>
      <c r="C2547" s="49"/>
      <c r="D2547" s="49"/>
      <c r="E2547" s="49"/>
    </row>
    <row r="2548" spans="1:5">
      <c r="A2548" s="49"/>
      <c r="B2548" s="49"/>
      <c r="C2548" s="49"/>
      <c r="D2548" s="49"/>
      <c r="E2548" s="49"/>
    </row>
    <row r="2549" spans="1:5">
      <c r="A2549" s="49"/>
      <c r="B2549" s="49"/>
      <c r="C2549" s="49"/>
      <c r="D2549" s="49"/>
      <c r="E2549" s="49"/>
    </row>
    <row r="2550" spans="1:5">
      <c r="A2550" s="49"/>
      <c r="B2550" s="49"/>
      <c r="C2550" s="49"/>
      <c r="D2550" s="49"/>
      <c r="E2550" s="49"/>
    </row>
    <row r="2551" spans="1:5">
      <c r="A2551" s="49"/>
      <c r="B2551" s="49"/>
      <c r="C2551" s="49"/>
      <c r="D2551" s="49"/>
      <c r="E2551" s="49"/>
    </row>
    <row r="2552" spans="1:5">
      <c r="A2552" s="49"/>
      <c r="B2552" s="49"/>
      <c r="C2552" s="49"/>
      <c r="D2552" s="49"/>
      <c r="E2552" s="49"/>
    </row>
    <row r="2553" spans="1:5">
      <c r="A2553" s="49"/>
      <c r="B2553" s="49"/>
      <c r="C2553" s="49"/>
      <c r="D2553" s="49"/>
      <c r="E2553" s="49"/>
    </row>
    <row r="2554" spans="1:5">
      <c r="A2554" s="49"/>
      <c r="B2554" s="49"/>
      <c r="C2554" s="49"/>
      <c r="D2554" s="49"/>
      <c r="E2554" s="49"/>
    </row>
    <row r="2555" spans="1:5">
      <c r="A2555" s="49"/>
      <c r="B2555" s="49"/>
      <c r="C2555" s="49"/>
      <c r="D2555" s="49"/>
      <c r="E2555" s="49"/>
    </row>
    <row r="2556" spans="1:5">
      <c r="A2556" s="49"/>
      <c r="B2556" s="49"/>
      <c r="C2556" s="49"/>
      <c r="D2556" s="49"/>
      <c r="E2556" s="49"/>
    </row>
    <row r="2557" spans="1:5">
      <c r="A2557" s="49"/>
      <c r="B2557" s="49"/>
      <c r="C2557" s="49"/>
      <c r="D2557" s="49"/>
      <c r="E2557" s="49"/>
    </row>
    <row r="2558" spans="1:5">
      <c r="A2558" s="49"/>
      <c r="B2558" s="49"/>
      <c r="C2558" s="49"/>
      <c r="D2558" s="49"/>
      <c r="E2558" s="49"/>
    </row>
    <row r="2559" spans="1:5">
      <c r="A2559" s="49"/>
      <c r="B2559" s="49"/>
      <c r="C2559" s="49"/>
      <c r="D2559" s="49"/>
      <c r="E2559" s="49"/>
    </row>
    <row r="2560" spans="1:5">
      <c r="A2560" s="49"/>
      <c r="B2560" s="49"/>
      <c r="C2560" s="49"/>
      <c r="D2560" s="49"/>
      <c r="E2560" s="49"/>
    </row>
    <row r="2561" spans="1:5">
      <c r="A2561" s="49"/>
      <c r="B2561" s="49"/>
      <c r="C2561" s="49"/>
      <c r="D2561" s="49"/>
      <c r="E2561" s="49"/>
    </row>
    <row r="2562" spans="1:5">
      <c r="A2562" s="49"/>
      <c r="B2562" s="49"/>
      <c r="C2562" s="49"/>
      <c r="D2562" s="49"/>
      <c r="E2562" s="49"/>
    </row>
    <row r="2563" spans="1:5">
      <c r="A2563" s="49"/>
      <c r="B2563" s="49"/>
      <c r="C2563" s="49"/>
      <c r="D2563" s="49"/>
      <c r="E2563" s="49"/>
    </row>
    <row r="2564" spans="1:5">
      <c r="A2564" s="49"/>
      <c r="B2564" s="49"/>
      <c r="C2564" s="49"/>
      <c r="D2564" s="49"/>
      <c r="E2564" s="49"/>
    </row>
    <row r="2565" spans="1:5">
      <c r="A2565" s="49"/>
      <c r="B2565" s="49"/>
      <c r="C2565" s="49"/>
      <c r="D2565" s="49"/>
      <c r="E2565" s="49"/>
    </row>
    <row r="2566" spans="1:5">
      <c r="A2566" s="49"/>
      <c r="B2566" s="49"/>
      <c r="C2566" s="49"/>
      <c r="D2566" s="49"/>
      <c r="E2566" s="49"/>
    </row>
    <row r="2567" spans="1:5">
      <c r="A2567" s="49"/>
      <c r="B2567" s="49"/>
      <c r="C2567" s="49"/>
      <c r="D2567" s="49"/>
      <c r="E2567" s="49"/>
    </row>
    <row r="2568" spans="1:5">
      <c r="A2568" s="49"/>
      <c r="B2568" s="49"/>
      <c r="C2568" s="49"/>
      <c r="D2568" s="49"/>
      <c r="E2568" s="49"/>
    </row>
    <row r="2569" spans="1:5">
      <c r="A2569" s="49"/>
      <c r="B2569" s="49"/>
      <c r="C2569" s="49"/>
      <c r="D2569" s="49"/>
      <c r="E2569" s="49"/>
    </row>
    <row r="2570" spans="1:5">
      <c r="A2570" s="49"/>
      <c r="B2570" s="49"/>
      <c r="C2570" s="49"/>
      <c r="D2570" s="49"/>
      <c r="E2570" s="49"/>
    </row>
    <row r="2571" spans="1:5">
      <c r="A2571" s="49"/>
      <c r="B2571" s="49"/>
      <c r="C2571" s="49"/>
      <c r="D2571" s="49"/>
      <c r="E2571" s="49"/>
    </row>
    <row r="2572" spans="1:5">
      <c r="A2572" s="49"/>
      <c r="B2572" s="49"/>
      <c r="C2572" s="49"/>
      <c r="D2572" s="49"/>
      <c r="E2572" s="49"/>
    </row>
    <row r="2573" spans="1:5">
      <c r="A2573" s="49"/>
      <c r="B2573" s="49"/>
      <c r="C2573" s="49"/>
      <c r="D2573" s="49"/>
      <c r="E2573" s="49"/>
    </row>
    <row r="2574" spans="1:5">
      <c r="A2574" s="49"/>
      <c r="B2574" s="49"/>
      <c r="C2574" s="49"/>
      <c r="D2574" s="49"/>
      <c r="E2574" s="49"/>
    </row>
    <row r="2575" spans="1:5">
      <c r="A2575" s="49"/>
      <c r="B2575" s="49"/>
      <c r="C2575" s="49"/>
      <c r="D2575" s="49"/>
      <c r="E2575" s="49"/>
    </row>
    <row r="2576" spans="1:5">
      <c r="A2576" s="49"/>
      <c r="B2576" s="49"/>
      <c r="C2576" s="49"/>
      <c r="D2576" s="49"/>
      <c r="E2576" s="49"/>
    </row>
    <row r="2577" spans="1:5">
      <c r="A2577" s="49"/>
      <c r="B2577" s="49"/>
      <c r="C2577" s="49"/>
      <c r="D2577" s="49"/>
      <c r="E2577" s="49"/>
    </row>
    <row r="2578" spans="1:5">
      <c r="A2578" s="49"/>
      <c r="B2578" s="49"/>
      <c r="C2578" s="49"/>
      <c r="D2578" s="49"/>
      <c r="E2578" s="49"/>
    </row>
    <row r="2579" spans="1:5">
      <c r="A2579" s="49"/>
      <c r="B2579" s="49"/>
      <c r="C2579" s="49"/>
      <c r="D2579" s="49"/>
      <c r="E2579" s="49"/>
    </row>
    <row r="2580" spans="1:5">
      <c r="A2580" s="49"/>
      <c r="B2580" s="49"/>
      <c r="C2580" s="49"/>
      <c r="D2580" s="49"/>
      <c r="E2580" s="49"/>
    </row>
    <row r="2581" spans="1:5">
      <c r="A2581" s="49"/>
      <c r="B2581" s="49"/>
      <c r="C2581" s="49"/>
      <c r="D2581" s="49"/>
      <c r="E2581" s="49"/>
    </row>
    <row r="2582" spans="1:5">
      <c r="A2582" s="49"/>
      <c r="B2582" s="49"/>
      <c r="C2582" s="49"/>
      <c r="D2582" s="49"/>
      <c r="E2582" s="49"/>
    </row>
    <row r="2583" spans="1:5">
      <c r="A2583" s="49"/>
      <c r="B2583" s="49"/>
      <c r="C2583" s="49"/>
      <c r="D2583" s="49"/>
      <c r="E2583" s="49"/>
    </row>
    <row r="2584" spans="1:5">
      <c r="A2584" s="49"/>
      <c r="B2584" s="49"/>
      <c r="C2584" s="49"/>
      <c r="D2584" s="49"/>
      <c r="E2584" s="49"/>
    </row>
    <row r="2585" spans="1:5">
      <c r="A2585" s="49"/>
      <c r="B2585" s="49"/>
      <c r="C2585" s="49"/>
      <c r="D2585" s="49"/>
      <c r="E2585" s="49"/>
    </row>
    <row r="2586" spans="1:5">
      <c r="A2586" s="49"/>
      <c r="B2586" s="49"/>
      <c r="C2586" s="49"/>
      <c r="D2586" s="49"/>
      <c r="E2586" s="49"/>
    </row>
    <row r="2587" spans="1:5">
      <c r="A2587" s="49"/>
      <c r="B2587" s="49"/>
      <c r="C2587" s="49"/>
      <c r="D2587" s="49"/>
      <c r="E2587" s="49"/>
    </row>
    <row r="2588" spans="1:5">
      <c r="A2588" s="49"/>
      <c r="B2588" s="49"/>
      <c r="C2588" s="49"/>
      <c r="D2588" s="49"/>
      <c r="E2588" s="49"/>
    </row>
    <row r="2589" spans="1:5">
      <c r="A2589" s="49"/>
      <c r="B2589" s="49"/>
      <c r="C2589" s="49"/>
      <c r="D2589" s="49"/>
      <c r="E2589" s="49"/>
    </row>
    <row r="2590" spans="1:5">
      <c r="A2590" s="49"/>
      <c r="B2590" s="49"/>
      <c r="C2590" s="49"/>
      <c r="D2590" s="49"/>
      <c r="E2590" s="49"/>
    </row>
    <row r="2591" spans="1:5">
      <c r="A2591" s="49"/>
      <c r="B2591" s="49"/>
      <c r="C2591" s="49"/>
      <c r="D2591" s="49"/>
      <c r="E2591" s="49"/>
    </row>
    <row r="2592" spans="1:5">
      <c r="A2592" s="49"/>
      <c r="B2592" s="49"/>
      <c r="C2592" s="49"/>
      <c r="D2592" s="49"/>
      <c r="E2592" s="49"/>
    </row>
    <row r="2593" spans="1:5">
      <c r="A2593" s="49"/>
      <c r="B2593" s="49"/>
      <c r="C2593" s="49"/>
      <c r="D2593" s="49"/>
      <c r="E2593" s="49"/>
    </row>
    <row r="2594" spans="1:5">
      <c r="A2594" s="49"/>
      <c r="B2594" s="49"/>
      <c r="C2594" s="49"/>
      <c r="D2594" s="49"/>
      <c r="E2594" s="49"/>
    </row>
    <row r="2595" spans="1:5">
      <c r="A2595" s="49"/>
      <c r="B2595" s="49"/>
      <c r="C2595" s="49"/>
      <c r="D2595" s="49"/>
      <c r="E2595" s="49"/>
    </row>
    <row r="2596" spans="1:5">
      <c r="A2596" s="49"/>
      <c r="B2596" s="49"/>
      <c r="C2596" s="49"/>
      <c r="D2596" s="49"/>
      <c r="E2596" s="49"/>
    </row>
    <row r="2597" spans="1:5">
      <c r="A2597" s="49"/>
      <c r="B2597" s="49"/>
      <c r="C2597" s="49"/>
      <c r="D2597" s="49"/>
      <c r="E2597" s="49"/>
    </row>
    <row r="2598" spans="1:5">
      <c r="A2598" s="49"/>
      <c r="B2598" s="49"/>
      <c r="C2598" s="49"/>
      <c r="D2598" s="49"/>
      <c r="E2598" s="49"/>
    </row>
    <row r="2599" spans="1:5">
      <c r="A2599" s="49"/>
      <c r="B2599" s="49"/>
      <c r="C2599" s="49"/>
      <c r="D2599" s="49"/>
      <c r="E2599" s="49"/>
    </row>
    <row r="2600" spans="1:5">
      <c r="A2600" s="49"/>
      <c r="B2600" s="49"/>
      <c r="C2600" s="49"/>
      <c r="D2600" s="49"/>
      <c r="E2600" s="49"/>
    </row>
    <row r="2601" spans="1:5">
      <c r="A2601" s="49"/>
      <c r="B2601" s="49"/>
      <c r="C2601" s="49"/>
      <c r="D2601" s="49"/>
      <c r="E2601" s="49"/>
    </row>
    <row r="2602" spans="1:5">
      <c r="A2602" s="49"/>
      <c r="B2602" s="49"/>
      <c r="C2602" s="49"/>
      <c r="D2602" s="49"/>
      <c r="E2602" s="49"/>
    </row>
    <row r="2603" spans="1:5">
      <c r="A2603" s="49"/>
      <c r="B2603" s="49"/>
      <c r="C2603" s="49"/>
      <c r="D2603" s="49"/>
      <c r="E2603" s="49"/>
    </row>
    <row r="2604" spans="1:5">
      <c r="A2604" s="49"/>
      <c r="B2604" s="49"/>
      <c r="C2604" s="49"/>
      <c r="D2604" s="49"/>
      <c r="E2604" s="49"/>
    </row>
    <row r="2605" spans="1:5">
      <c r="A2605" s="49"/>
      <c r="B2605" s="49"/>
      <c r="C2605" s="49"/>
      <c r="D2605" s="49"/>
      <c r="E2605" s="49"/>
    </row>
    <row r="2606" spans="1:5">
      <c r="A2606" s="49"/>
      <c r="B2606" s="49"/>
      <c r="C2606" s="49"/>
      <c r="D2606" s="49"/>
      <c r="E2606" s="49"/>
    </row>
    <row r="2607" spans="1:5">
      <c r="A2607" s="49"/>
      <c r="B2607" s="49"/>
      <c r="C2607" s="49"/>
      <c r="D2607" s="49"/>
      <c r="E2607" s="49"/>
    </row>
    <row r="2608" spans="1:5">
      <c r="A2608" s="49"/>
      <c r="B2608" s="49"/>
      <c r="C2608" s="49"/>
      <c r="D2608" s="49"/>
      <c r="E2608" s="49"/>
    </row>
    <row r="2609" spans="1:5">
      <c r="A2609" s="49"/>
      <c r="B2609" s="49"/>
      <c r="C2609" s="49"/>
      <c r="D2609" s="49"/>
      <c r="E2609" s="49"/>
    </row>
    <row r="2610" spans="1:5">
      <c r="A2610" s="49"/>
      <c r="B2610" s="49"/>
      <c r="C2610" s="49"/>
      <c r="D2610" s="49"/>
      <c r="E2610" s="49"/>
    </row>
    <row r="2611" spans="1:5">
      <c r="A2611" s="49"/>
      <c r="B2611" s="49"/>
      <c r="C2611" s="49"/>
      <c r="D2611" s="49"/>
      <c r="E2611" s="49"/>
    </row>
    <row r="2612" spans="1:5">
      <c r="A2612" s="49"/>
      <c r="B2612" s="49"/>
      <c r="C2612" s="49"/>
      <c r="D2612" s="49"/>
      <c r="E2612" s="49"/>
    </row>
    <row r="2613" spans="1:5">
      <c r="A2613" s="49"/>
      <c r="B2613" s="49"/>
      <c r="C2613" s="49"/>
      <c r="D2613" s="49"/>
      <c r="E2613" s="49"/>
    </row>
    <row r="2614" spans="1:5">
      <c r="A2614" s="49"/>
      <c r="B2614" s="49"/>
      <c r="C2614" s="49"/>
      <c r="D2614" s="49"/>
      <c r="E2614" s="49"/>
    </row>
    <row r="2615" spans="1:5">
      <c r="A2615" s="49"/>
      <c r="B2615" s="49"/>
      <c r="C2615" s="49"/>
      <c r="D2615" s="49"/>
      <c r="E2615" s="49"/>
    </row>
    <row r="2616" spans="1:5">
      <c r="A2616" s="49"/>
      <c r="B2616" s="49"/>
      <c r="C2616" s="49"/>
      <c r="D2616" s="49"/>
      <c r="E2616" s="49"/>
    </row>
    <row r="2617" spans="1:5">
      <c r="A2617" s="49"/>
      <c r="B2617" s="49"/>
      <c r="C2617" s="49"/>
      <c r="D2617" s="49"/>
      <c r="E2617" s="49"/>
    </row>
    <row r="2618" spans="1:5">
      <c r="A2618" s="49"/>
      <c r="B2618" s="49"/>
      <c r="C2618" s="49"/>
      <c r="D2618" s="49"/>
      <c r="E2618" s="49"/>
    </row>
    <row r="2619" spans="1:5">
      <c r="A2619" s="49"/>
      <c r="B2619" s="49"/>
      <c r="C2619" s="49"/>
      <c r="D2619" s="49"/>
      <c r="E2619" s="49"/>
    </row>
    <row r="2620" spans="1:5">
      <c r="A2620" s="49"/>
      <c r="B2620" s="49"/>
      <c r="C2620" s="49"/>
      <c r="D2620" s="49"/>
      <c r="E2620" s="49"/>
    </row>
    <row r="2621" spans="1:5">
      <c r="A2621" s="49"/>
      <c r="B2621" s="49"/>
      <c r="C2621" s="49"/>
      <c r="D2621" s="49"/>
      <c r="E2621" s="49"/>
    </row>
    <row r="2622" spans="1:5">
      <c r="A2622" s="49"/>
      <c r="B2622" s="49"/>
      <c r="C2622" s="49"/>
      <c r="D2622" s="49"/>
      <c r="E2622" s="49"/>
    </row>
    <row r="2623" spans="1:5">
      <c r="A2623" s="49"/>
      <c r="B2623" s="49"/>
      <c r="C2623" s="49"/>
      <c r="D2623" s="49"/>
      <c r="E2623" s="49"/>
    </row>
    <row r="2624" spans="1:5">
      <c r="A2624" s="49"/>
      <c r="B2624" s="49"/>
      <c r="C2624" s="49"/>
      <c r="D2624" s="49"/>
      <c r="E2624" s="49"/>
    </row>
    <row r="2625" spans="1:5">
      <c r="A2625" s="49"/>
      <c r="B2625" s="49"/>
      <c r="C2625" s="49"/>
      <c r="D2625" s="49"/>
      <c r="E2625" s="49"/>
    </row>
    <row r="2626" spans="1:5">
      <c r="A2626" s="49"/>
      <c r="B2626" s="49"/>
      <c r="C2626" s="49"/>
      <c r="D2626" s="49"/>
      <c r="E2626" s="49"/>
    </row>
    <row r="2627" spans="1:5">
      <c r="A2627" s="49"/>
      <c r="B2627" s="49"/>
      <c r="C2627" s="49"/>
      <c r="D2627" s="49"/>
      <c r="E2627" s="49"/>
    </row>
    <row r="2628" spans="1:5">
      <c r="A2628" s="49"/>
      <c r="B2628" s="49"/>
      <c r="C2628" s="49"/>
      <c r="D2628" s="49"/>
      <c r="E2628" s="49"/>
    </row>
    <row r="2629" spans="1:5">
      <c r="A2629" s="49"/>
      <c r="B2629" s="49"/>
      <c r="C2629" s="49"/>
      <c r="D2629" s="49"/>
      <c r="E2629" s="49"/>
    </row>
    <row r="2630" spans="1:5">
      <c r="A2630" s="49"/>
      <c r="B2630" s="49"/>
      <c r="C2630" s="49"/>
      <c r="D2630" s="49"/>
      <c r="E2630" s="49"/>
    </row>
    <row r="2631" spans="1:5">
      <c r="A2631" s="49"/>
      <c r="B2631" s="49"/>
      <c r="C2631" s="49"/>
      <c r="D2631" s="49"/>
      <c r="E2631" s="49"/>
    </row>
    <row r="2632" spans="1:5">
      <c r="A2632" s="49"/>
      <c r="B2632" s="49"/>
      <c r="C2632" s="49"/>
      <c r="D2632" s="49"/>
      <c r="E2632" s="49"/>
    </row>
    <row r="2633" spans="1:5">
      <c r="A2633" s="49"/>
      <c r="B2633" s="49"/>
      <c r="C2633" s="49"/>
      <c r="D2633" s="49"/>
      <c r="E2633" s="49"/>
    </row>
    <row r="2634" spans="1:5">
      <c r="A2634" s="49"/>
      <c r="B2634" s="49"/>
      <c r="C2634" s="49"/>
      <c r="D2634" s="49"/>
      <c r="E2634" s="49"/>
    </row>
    <row r="2635" spans="1:5">
      <c r="A2635" s="49"/>
      <c r="B2635" s="49"/>
      <c r="C2635" s="49"/>
      <c r="D2635" s="49"/>
      <c r="E2635" s="49"/>
    </row>
    <row r="2636" spans="1:5">
      <c r="A2636" s="49"/>
      <c r="B2636" s="49"/>
      <c r="C2636" s="49"/>
      <c r="D2636" s="49"/>
      <c r="E2636" s="49"/>
    </row>
    <row r="2637" spans="1:5">
      <c r="A2637" s="49"/>
      <c r="B2637" s="49"/>
      <c r="C2637" s="49"/>
      <c r="D2637" s="49"/>
      <c r="E2637" s="49"/>
    </row>
    <row r="2638" spans="1:5">
      <c r="A2638" s="49"/>
      <c r="B2638" s="49"/>
      <c r="C2638" s="49"/>
      <c r="D2638" s="49"/>
      <c r="E2638" s="49"/>
    </row>
    <row r="2639" spans="1:5">
      <c r="A2639" s="49"/>
      <c r="B2639" s="49"/>
      <c r="C2639" s="49"/>
      <c r="D2639" s="49"/>
      <c r="E2639" s="49"/>
    </row>
    <row r="2640" spans="1:5">
      <c r="A2640" s="49"/>
      <c r="B2640" s="49"/>
      <c r="C2640" s="49"/>
      <c r="D2640" s="49"/>
      <c r="E2640" s="49"/>
    </row>
    <row r="2641" spans="1:5">
      <c r="A2641" s="49"/>
      <c r="B2641" s="49"/>
      <c r="C2641" s="49"/>
      <c r="D2641" s="49"/>
      <c r="E2641" s="49"/>
    </row>
    <row r="2642" spans="1:5">
      <c r="A2642" s="49"/>
      <c r="B2642" s="49"/>
      <c r="C2642" s="49"/>
      <c r="D2642" s="49"/>
      <c r="E2642" s="49"/>
    </row>
    <row r="2643" spans="1:5">
      <c r="A2643" s="49"/>
      <c r="B2643" s="49"/>
      <c r="C2643" s="49"/>
      <c r="D2643" s="49"/>
      <c r="E2643" s="49"/>
    </row>
    <row r="2644" spans="1:5">
      <c r="A2644" s="49"/>
      <c r="B2644" s="49"/>
      <c r="C2644" s="49"/>
      <c r="D2644" s="49"/>
      <c r="E2644" s="49"/>
    </row>
    <row r="2645" spans="1:5">
      <c r="A2645" s="49"/>
      <c r="B2645" s="49"/>
      <c r="C2645" s="49"/>
      <c r="D2645" s="49"/>
      <c r="E2645" s="49"/>
    </row>
    <row r="2646" spans="1:5">
      <c r="A2646" s="49"/>
      <c r="B2646" s="49"/>
      <c r="C2646" s="49"/>
      <c r="D2646" s="49"/>
      <c r="E2646" s="49"/>
    </row>
    <row r="2647" spans="1:5">
      <c r="A2647" s="49"/>
      <c r="B2647" s="49"/>
      <c r="C2647" s="49"/>
      <c r="D2647" s="49"/>
      <c r="E2647" s="49"/>
    </row>
    <row r="2648" spans="1:5">
      <c r="A2648" s="49"/>
      <c r="B2648" s="49"/>
      <c r="C2648" s="49"/>
      <c r="D2648" s="49"/>
      <c r="E2648" s="49"/>
    </row>
    <row r="2649" spans="1:5">
      <c r="A2649" s="49"/>
      <c r="B2649" s="49"/>
      <c r="C2649" s="49"/>
      <c r="D2649" s="49"/>
      <c r="E2649" s="49"/>
    </row>
    <row r="2650" spans="1:5">
      <c r="A2650" s="49"/>
      <c r="B2650" s="49"/>
      <c r="C2650" s="49"/>
      <c r="D2650" s="49"/>
      <c r="E2650" s="49"/>
    </row>
    <row r="2651" spans="1:5">
      <c r="A2651" s="49"/>
      <c r="B2651" s="49"/>
      <c r="C2651" s="49"/>
      <c r="D2651" s="49"/>
      <c r="E2651" s="49"/>
    </row>
    <row r="2652" spans="1:5">
      <c r="A2652" s="49"/>
      <c r="B2652" s="49"/>
      <c r="C2652" s="49"/>
      <c r="D2652" s="49"/>
      <c r="E2652" s="49"/>
    </row>
    <row r="2653" spans="1:5">
      <c r="A2653" s="49"/>
      <c r="B2653" s="49"/>
      <c r="C2653" s="49"/>
      <c r="D2653" s="49"/>
      <c r="E2653" s="49"/>
    </row>
    <row r="2654" spans="1:5">
      <c r="A2654" s="49"/>
      <c r="B2654" s="49"/>
      <c r="C2654" s="49"/>
      <c r="D2654" s="49"/>
      <c r="E2654" s="49"/>
    </row>
    <row r="2655" spans="1:5">
      <c r="A2655" s="49"/>
      <c r="B2655" s="49"/>
      <c r="C2655" s="49"/>
      <c r="D2655" s="49"/>
      <c r="E2655" s="49"/>
    </row>
    <row r="2656" spans="1:5">
      <c r="A2656" s="49"/>
      <c r="B2656" s="49"/>
      <c r="C2656" s="49"/>
      <c r="D2656" s="49"/>
      <c r="E2656" s="49"/>
    </row>
    <row r="2657" spans="1:5">
      <c r="A2657" s="49"/>
      <c r="B2657" s="49"/>
      <c r="C2657" s="49"/>
      <c r="D2657" s="49"/>
      <c r="E2657" s="49"/>
    </row>
    <row r="2658" spans="1:5">
      <c r="A2658" s="49"/>
      <c r="B2658" s="49"/>
      <c r="C2658" s="49"/>
      <c r="D2658" s="49"/>
      <c r="E2658" s="49"/>
    </row>
    <row r="2659" spans="1:5">
      <c r="A2659" s="49"/>
      <c r="B2659" s="49"/>
      <c r="C2659" s="49"/>
      <c r="D2659" s="49"/>
      <c r="E2659" s="49"/>
    </row>
    <row r="2660" spans="1:5">
      <c r="A2660" s="49"/>
      <c r="B2660" s="49"/>
      <c r="C2660" s="49"/>
      <c r="D2660" s="49"/>
      <c r="E2660" s="49"/>
    </row>
    <row r="2661" spans="1:5">
      <c r="A2661" s="49"/>
      <c r="B2661" s="49"/>
      <c r="C2661" s="49"/>
      <c r="D2661" s="49"/>
      <c r="E2661" s="49"/>
    </row>
    <row r="2662" spans="1:5">
      <c r="A2662" s="49"/>
      <c r="B2662" s="49"/>
      <c r="C2662" s="49"/>
      <c r="D2662" s="49"/>
      <c r="E2662" s="49"/>
    </row>
    <row r="2663" spans="1:5">
      <c r="A2663" s="49"/>
      <c r="B2663" s="49"/>
      <c r="C2663" s="49"/>
      <c r="D2663" s="49"/>
      <c r="E2663" s="49"/>
    </row>
    <row r="2664" spans="1:5">
      <c r="A2664" s="49"/>
      <c r="B2664" s="49"/>
      <c r="C2664" s="49"/>
      <c r="D2664" s="49"/>
      <c r="E2664" s="49"/>
    </row>
    <row r="2665" spans="1:5">
      <c r="A2665" s="49"/>
      <c r="B2665" s="49"/>
      <c r="C2665" s="49"/>
      <c r="D2665" s="49"/>
      <c r="E2665" s="49"/>
    </row>
    <row r="2666" spans="1:5">
      <c r="A2666" s="49"/>
      <c r="B2666" s="49"/>
      <c r="C2666" s="49"/>
      <c r="D2666" s="49"/>
      <c r="E2666" s="49"/>
    </row>
    <row r="2667" spans="1:5">
      <c r="A2667" s="49"/>
      <c r="B2667" s="49"/>
      <c r="C2667" s="49"/>
      <c r="D2667" s="49"/>
      <c r="E2667" s="49"/>
    </row>
    <row r="2668" spans="1:5">
      <c r="A2668" s="49"/>
      <c r="B2668" s="49"/>
      <c r="C2668" s="49"/>
      <c r="D2668" s="49"/>
      <c r="E2668" s="49"/>
    </row>
    <row r="2669" spans="1:5">
      <c r="A2669" s="49"/>
      <c r="B2669" s="49"/>
      <c r="C2669" s="49"/>
      <c r="D2669" s="49"/>
      <c r="E2669" s="49"/>
    </row>
    <row r="2670" spans="1:5">
      <c r="A2670" s="49"/>
      <c r="B2670" s="49"/>
      <c r="C2670" s="49"/>
      <c r="D2670" s="49"/>
      <c r="E2670" s="49"/>
    </row>
    <row r="2671" spans="1:5">
      <c r="A2671" s="49"/>
      <c r="B2671" s="49"/>
      <c r="C2671" s="49"/>
      <c r="D2671" s="49"/>
      <c r="E2671" s="49"/>
    </row>
    <row r="2672" spans="1:5">
      <c r="A2672" s="49"/>
      <c r="B2672" s="49"/>
      <c r="C2672" s="49"/>
      <c r="D2672" s="49"/>
      <c r="E2672" s="49"/>
    </row>
    <row r="2673" spans="1:5">
      <c r="A2673" s="49"/>
      <c r="B2673" s="49"/>
      <c r="C2673" s="49"/>
      <c r="D2673" s="49"/>
      <c r="E2673" s="49"/>
    </row>
    <row r="2674" spans="1:5">
      <c r="A2674" s="49"/>
      <c r="B2674" s="49"/>
      <c r="C2674" s="49"/>
      <c r="D2674" s="49"/>
      <c r="E2674" s="49"/>
    </row>
    <row r="2675" spans="1:5">
      <c r="A2675" s="49"/>
      <c r="B2675" s="49"/>
      <c r="C2675" s="49"/>
      <c r="D2675" s="49"/>
      <c r="E2675" s="49"/>
    </row>
    <row r="2676" spans="1:5">
      <c r="A2676" s="49"/>
      <c r="B2676" s="49"/>
      <c r="C2676" s="49"/>
      <c r="D2676" s="49"/>
      <c r="E2676" s="49"/>
    </row>
    <row r="2677" spans="1:5">
      <c r="A2677" s="49"/>
      <c r="B2677" s="49"/>
      <c r="C2677" s="49"/>
      <c r="D2677" s="49"/>
      <c r="E2677" s="49"/>
    </row>
    <row r="2678" spans="1:5">
      <c r="A2678" s="49"/>
      <c r="B2678" s="49"/>
      <c r="C2678" s="49"/>
      <c r="D2678" s="49"/>
      <c r="E2678" s="49"/>
    </row>
    <row r="2679" spans="1:5">
      <c r="A2679" s="49"/>
      <c r="B2679" s="49"/>
      <c r="C2679" s="49"/>
      <c r="D2679" s="49"/>
      <c r="E2679" s="49"/>
    </row>
    <row r="2680" spans="1:5">
      <c r="A2680" s="49"/>
      <c r="B2680" s="49"/>
      <c r="C2680" s="49"/>
      <c r="D2680" s="49"/>
      <c r="E2680" s="49"/>
    </row>
    <row r="2681" spans="1:5">
      <c r="A2681" s="49"/>
      <c r="B2681" s="49"/>
      <c r="C2681" s="49"/>
      <c r="D2681" s="49"/>
      <c r="E2681" s="49"/>
    </row>
    <row r="2682" spans="1:5">
      <c r="A2682" s="49"/>
      <c r="B2682" s="49"/>
      <c r="C2682" s="49"/>
      <c r="D2682" s="49"/>
      <c r="E2682" s="49"/>
    </row>
    <row r="2683" spans="1:5">
      <c r="A2683" s="49"/>
      <c r="B2683" s="49"/>
      <c r="C2683" s="49"/>
      <c r="D2683" s="49"/>
      <c r="E2683" s="49"/>
    </row>
    <row r="2684" spans="1:5">
      <c r="A2684" s="49"/>
      <c r="B2684" s="49"/>
      <c r="C2684" s="49"/>
      <c r="D2684" s="49"/>
      <c r="E2684" s="49"/>
    </row>
    <row r="2685" spans="1:5">
      <c r="A2685" s="49"/>
      <c r="B2685" s="49"/>
      <c r="C2685" s="49"/>
      <c r="D2685" s="49"/>
      <c r="E2685" s="49"/>
    </row>
    <row r="2686" spans="1:5">
      <c r="A2686" s="49"/>
      <c r="B2686" s="49"/>
      <c r="C2686" s="49"/>
      <c r="D2686" s="49"/>
      <c r="E2686" s="49"/>
    </row>
    <row r="2687" spans="1:5">
      <c r="A2687" s="49"/>
      <c r="B2687" s="49"/>
      <c r="C2687" s="49"/>
      <c r="D2687" s="49"/>
      <c r="E2687" s="49"/>
    </row>
    <row r="2688" spans="1:5">
      <c r="A2688" s="49"/>
      <c r="B2688" s="49"/>
      <c r="C2688" s="49"/>
      <c r="D2688" s="49"/>
      <c r="E2688" s="49"/>
    </row>
    <row r="2689" spans="1:5">
      <c r="A2689" s="49"/>
      <c r="B2689" s="49"/>
      <c r="C2689" s="49"/>
      <c r="D2689" s="49"/>
      <c r="E2689" s="49"/>
    </row>
    <row r="2690" spans="1:5">
      <c r="A2690" s="49"/>
      <c r="B2690" s="49"/>
      <c r="C2690" s="49"/>
      <c r="D2690" s="49"/>
      <c r="E2690" s="49"/>
    </row>
    <row r="2691" spans="1:5">
      <c r="A2691" s="49"/>
      <c r="B2691" s="49"/>
      <c r="C2691" s="49"/>
      <c r="D2691" s="49"/>
      <c r="E2691" s="49"/>
    </row>
    <row r="2692" spans="1:5">
      <c r="A2692" s="49"/>
      <c r="B2692" s="49"/>
      <c r="C2692" s="49"/>
      <c r="D2692" s="49"/>
      <c r="E2692" s="49"/>
    </row>
    <row r="2693" spans="1:5">
      <c r="A2693" s="49"/>
      <c r="B2693" s="49"/>
      <c r="C2693" s="49"/>
      <c r="D2693" s="49"/>
      <c r="E2693" s="49"/>
    </row>
    <row r="2694" spans="1:5">
      <c r="A2694" s="49"/>
      <c r="B2694" s="49"/>
      <c r="C2694" s="49"/>
      <c r="D2694" s="49"/>
      <c r="E2694" s="49"/>
    </row>
    <row r="2695" spans="1:5">
      <c r="A2695" s="49"/>
      <c r="B2695" s="49"/>
      <c r="C2695" s="49"/>
      <c r="D2695" s="49"/>
      <c r="E2695" s="49"/>
    </row>
    <row r="2696" spans="1:5">
      <c r="A2696" s="49"/>
      <c r="B2696" s="49"/>
      <c r="C2696" s="49"/>
      <c r="D2696" s="49"/>
      <c r="E2696" s="49"/>
    </row>
    <row r="2697" spans="1:5">
      <c r="A2697" s="49"/>
      <c r="B2697" s="49"/>
      <c r="C2697" s="49"/>
      <c r="D2697" s="49"/>
      <c r="E2697" s="49"/>
    </row>
    <row r="2698" spans="1:5">
      <c r="A2698" s="49"/>
      <c r="B2698" s="49"/>
      <c r="C2698" s="49"/>
      <c r="D2698" s="49"/>
      <c r="E2698" s="49"/>
    </row>
    <row r="2699" spans="1:5">
      <c r="A2699" s="49"/>
      <c r="B2699" s="49"/>
      <c r="C2699" s="49"/>
      <c r="D2699" s="49"/>
      <c r="E2699" s="49"/>
    </row>
    <row r="2700" spans="1:5">
      <c r="A2700" s="49"/>
      <c r="B2700" s="49"/>
      <c r="C2700" s="49"/>
      <c r="D2700" s="49"/>
      <c r="E2700" s="49"/>
    </row>
    <row r="2701" spans="1:5">
      <c r="A2701" s="49"/>
      <c r="B2701" s="49"/>
      <c r="C2701" s="49"/>
      <c r="D2701" s="49"/>
      <c r="E2701" s="49"/>
    </row>
    <row r="2702" spans="1:5">
      <c r="A2702" s="49"/>
      <c r="B2702" s="49"/>
      <c r="C2702" s="49"/>
      <c r="D2702" s="49"/>
      <c r="E2702" s="49"/>
    </row>
    <row r="2703" spans="1:5">
      <c r="A2703" s="49"/>
      <c r="B2703" s="49"/>
      <c r="C2703" s="49"/>
      <c r="D2703" s="49"/>
      <c r="E2703" s="49"/>
    </row>
    <row r="2704" spans="1:5">
      <c r="A2704" s="49"/>
      <c r="B2704" s="49"/>
      <c r="C2704" s="49"/>
      <c r="D2704" s="49"/>
      <c r="E2704" s="49"/>
    </row>
    <row r="2705" spans="1:13">
      <c r="A2705" s="49"/>
      <c r="B2705" s="49"/>
      <c r="C2705" s="49"/>
      <c r="D2705" s="49"/>
      <c r="E2705" s="49"/>
    </row>
    <row r="2706" spans="1:13">
      <c r="A2706" s="49"/>
      <c r="B2706" s="49"/>
      <c r="C2706" s="49"/>
      <c r="D2706" s="49"/>
      <c r="E2706" s="49"/>
    </row>
    <row r="2707" spans="1:13">
      <c r="A2707" s="49"/>
      <c r="B2707" s="49"/>
      <c r="C2707" s="49"/>
      <c r="D2707" s="49"/>
      <c r="E2707" s="49"/>
    </row>
    <row r="2708" spans="1:13">
      <c r="A2708" s="49"/>
      <c r="B2708" s="49"/>
      <c r="C2708" s="49"/>
      <c r="D2708" s="49"/>
      <c r="E2708" s="49"/>
    </row>
    <row r="2709" spans="1:13">
      <c r="A2709" s="49"/>
      <c r="B2709" s="49"/>
      <c r="C2709" s="49"/>
      <c r="D2709" s="49"/>
      <c r="E2709" s="49"/>
    </row>
    <row r="2710" spans="1:13">
      <c r="A2710" s="49"/>
      <c r="B2710" s="49"/>
      <c r="C2710" s="49"/>
      <c r="D2710" s="49"/>
      <c r="E2710" s="49"/>
    </row>
    <row r="2711" spans="1:13">
      <c r="A2711" s="49"/>
      <c r="B2711" s="49"/>
      <c r="C2711" s="49"/>
      <c r="D2711" s="49"/>
      <c r="E2711" s="49"/>
    </row>
    <row r="2712" spans="1:13">
      <c r="A2712" s="49"/>
      <c r="B2712" s="49"/>
      <c r="C2712" s="49"/>
      <c r="D2712" s="49"/>
      <c r="E2712" s="49"/>
    </row>
    <row r="2713" spans="1:13">
      <c r="A2713" s="49"/>
      <c r="B2713" s="49"/>
      <c r="C2713" s="49"/>
      <c r="D2713" s="49"/>
      <c r="E2713" s="49"/>
    </row>
    <row r="2714" spans="1:13">
      <c r="A2714" s="49"/>
      <c r="B2714" s="49"/>
      <c r="C2714" s="49"/>
      <c r="D2714" s="49"/>
      <c r="E2714" s="49"/>
    </row>
    <row r="2715" spans="1:13">
      <c r="A2715" s="49"/>
      <c r="B2715" s="49"/>
      <c r="C2715" s="49"/>
      <c r="D2715" s="49"/>
      <c r="E2715" s="49"/>
    </row>
    <row r="2716" spans="1:13">
      <c r="A2716" s="49"/>
      <c r="B2716" s="49"/>
      <c r="C2716" s="49"/>
      <c r="D2716" s="49"/>
      <c r="E2716" s="49"/>
    </row>
    <row r="2718" spans="1:13" ht="12">
      <c r="A2718" s="57"/>
      <c r="B2718" s="81"/>
      <c r="C2718" s="81"/>
      <c r="D2718" s="81"/>
      <c r="E2718" s="81"/>
      <c r="F2718" s="82"/>
      <c r="G2718" s="82"/>
      <c r="H2718" s="82"/>
      <c r="I2718" s="82"/>
      <c r="J2718" s="82"/>
      <c r="K2718" s="82"/>
      <c r="L2718" s="82"/>
      <c r="M2718" s="82"/>
    </row>
  </sheetData>
  <autoFilter ref="A51:P303"/>
  <mergeCells count="22">
    <mergeCell ref="T62:AA62"/>
    <mergeCell ref="T63:AA63"/>
    <mergeCell ref="T69:AA69"/>
    <mergeCell ref="T68:AA68"/>
    <mergeCell ref="T67:AA67"/>
    <mergeCell ref="T66:AA66"/>
    <mergeCell ref="T65:AA65"/>
    <mergeCell ref="T64:AA64"/>
    <mergeCell ref="O6:O7"/>
    <mergeCell ref="P6:P7"/>
    <mergeCell ref="A8:E8"/>
    <mergeCell ref="G6:G7"/>
    <mergeCell ref="H6:H7"/>
    <mergeCell ref="I6:I7"/>
    <mergeCell ref="J6:K6"/>
    <mergeCell ref="A1:N1"/>
    <mergeCell ref="A2:N2"/>
    <mergeCell ref="A6:E7"/>
    <mergeCell ref="F6:F7"/>
    <mergeCell ref="N6:N7"/>
    <mergeCell ref="L6:L7"/>
    <mergeCell ref="M6:M7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62" fitToHeight="0" orientation="landscape" r:id="rId1"/>
  <headerFooter alignWithMargins="0">
    <oddFooter>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4"/>
  <sheetViews>
    <sheetView topLeftCell="A187" workbookViewId="0">
      <selection activeCell="E291" sqref="E291"/>
    </sheetView>
  </sheetViews>
  <sheetFormatPr defaultRowHeight="11.25"/>
  <cols>
    <col min="1" max="5" width="4" style="78" customWidth="1"/>
    <col min="6" max="6" width="50.28515625" style="49" customWidth="1"/>
    <col min="7" max="7" width="13.85546875" style="49" customWidth="1"/>
    <col min="8" max="13" width="9.140625" style="49"/>
    <col min="14" max="14" width="11.28515625" style="49" bestFit="1" customWidth="1"/>
    <col min="15" max="16384" width="9.140625" style="49"/>
  </cols>
  <sheetData>
    <row r="1" spans="1:7" s="44" customFormat="1" ht="15.75">
      <c r="A1" s="865"/>
      <c r="B1" s="42"/>
      <c r="C1" s="42"/>
      <c r="D1" s="42"/>
      <c r="E1" s="42"/>
      <c r="F1" s="49"/>
      <c r="G1" s="866"/>
    </row>
    <row r="2" spans="1:7" s="44" customFormat="1" ht="15.75">
      <c r="A2" s="867"/>
      <c r="B2" s="42"/>
      <c r="C2" s="42"/>
      <c r="D2" s="42"/>
      <c r="E2" s="42"/>
      <c r="F2" s="598"/>
      <c r="G2" s="868"/>
    </row>
    <row r="3" spans="1:7" s="44" customFormat="1" ht="15.75">
      <c r="A3" s="66"/>
      <c r="B3" s="42"/>
      <c r="C3" s="42"/>
      <c r="D3" s="42"/>
      <c r="E3" s="42"/>
      <c r="F3" s="43"/>
      <c r="G3" s="67"/>
    </row>
    <row r="4" spans="1:7" s="44" customFormat="1" ht="15.75">
      <c r="A4" s="66" t="s">
        <v>499</v>
      </c>
      <c r="B4" s="42"/>
      <c r="C4" s="42"/>
      <c r="D4" s="42"/>
      <c r="E4" s="42"/>
      <c r="F4" s="43"/>
      <c r="G4" s="67"/>
    </row>
    <row r="5" spans="1:7" s="48" customFormat="1">
      <c r="A5" s="46" t="s">
        <v>500</v>
      </c>
      <c r="B5" s="46"/>
      <c r="C5" s="46"/>
      <c r="D5" s="46"/>
      <c r="E5" s="46"/>
      <c r="F5" s="47" t="s">
        <v>1485</v>
      </c>
      <c r="G5" s="68"/>
    </row>
    <row r="6" spans="1:7">
      <c r="A6" s="46" t="s">
        <v>501</v>
      </c>
      <c r="B6" s="46"/>
      <c r="C6" s="46"/>
      <c r="D6" s="46"/>
      <c r="E6" s="46"/>
      <c r="F6" s="47" t="s">
        <v>228</v>
      </c>
    </row>
    <row r="7" spans="1:7" s="69" customFormat="1" ht="42.75" customHeight="1">
      <c r="A7" s="1310" t="s">
        <v>229</v>
      </c>
      <c r="B7" s="1311"/>
      <c r="C7" s="1311"/>
      <c r="D7" s="1311"/>
      <c r="E7" s="1311"/>
      <c r="F7" s="1304" t="s">
        <v>230</v>
      </c>
      <c r="G7" s="1304" t="s">
        <v>2465</v>
      </c>
    </row>
    <row r="8" spans="1:7" s="69" customFormat="1" ht="35.25" customHeight="1">
      <c r="A8" s="1312"/>
      <c r="B8" s="1313"/>
      <c r="C8" s="1313"/>
      <c r="D8" s="1313"/>
      <c r="E8" s="1313"/>
      <c r="F8" s="1305"/>
      <c r="G8" s="1305"/>
    </row>
    <row r="9" spans="1:7" ht="11.25" customHeight="1">
      <c r="A9" s="1307" t="s">
        <v>234</v>
      </c>
      <c r="B9" s="1308"/>
      <c r="C9" s="1308"/>
      <c r="D9" s="1308"/>
      <c r="E9" s="1308"/>
      <c r="F9" s="70">
        <v>2</v>
      </c>
      <c r="G9" s="71">
        <v>10</v>
      </c>
    </row>
    <row r="10" spans="1:7" ht="12">
      <c r="A10" s="72"/>
      <c r="B10" s="72"/>
      <c r="C10" s="72"/>
      <c r="D10" s="72"/>
      <c r="E10" s="72"/>
      <c r="F10" s="50" t="s">
        <v>2466</v>
      </c>
      <c r="G10" s="51">
        <v>9433744891.9866009</v>
      </c>
    </row>
    <row r="11" spans="1:7" ht="12">
      <c r="A11" s="72"/>
      <c r="B11" s="72"/>
      <c r="C11" s="72"/>
      <c r="D11" s="72"/>
      <c r="E11" s="72"/>
      <c r="F11" s="50"/>
      <c r="G11" s="51"/>
    </row>
    <row r="12" spans="1:7">
      <c r="A12" s="76" t="s">
        <v>1507</v>
      </c>
      <c r="B12" s="76"/>
      <c r="C12" s="76"/>
      <c r="D12" s="76"/>
      <c r="E12" s="76"/>
      <c r="F12" s="54" t="s">
        <v>1508</v>
      </c>
      <c r="G12" s="55">
        <v>1669398158.0313001</v>
      </c>
    </row>
    <row r="13" spans="1:7">
      <c r="C13" s="78" t="s">
        <v>251</v>
      </c>
      <c r="F13" s="869" t="s">
        <v>252</v>
      </c>
      <c r="G13" s="56">
        <v>613764.88280000002</v>
      </c>
    </row>
    <row r="14" spans="1:7" ht="21">
      <c r="D14" s="78" t="s">
        <v>283</v>
      </c>
      <c r="F14" s="79" t="s">
        <v>612</v>
      </c>
      <c r="G14" s="56">
        <v>613764.88280000002</v>
      </c>
    </row>
    <row r="15" spans="1:7">
      <c r="C15" s="78" t="s">
        <v>322</v>
      </c>
      <c r="F15" s="870" t="s">
        <v>323</v>
      </c>
      <c r="G15" s="56">
        <v>4940008.2648999998</v>
      </c>
    </row>
    <row r="16" spans="1:7" ht="21">
      <c r="D16" s="78" t="s">
        <v>2467</v>
      </c>
      <c r="F16" s="79" t="s">
        <v>1431</v>
      </c>
      <c r="G16" s="56">
        <v>4684098.0878999997</v>
      </c>
    </row>
    <row r="17" spans="3:7">
      <c r="E17" s="78" t="s">
        <v>261</v>
      </c>
      <c r="F17" s="79" t="s">
        <v>325</v>
      </c>
      <c r="G17" s="56">
        <v>1029468.9931</v>
      </c>
    </row>
    <row r="18" spans="3:7">
      <c r="E18" s="78" t="s">
        <v>326</v>
      </c>
      <c r="F18" s="79" t="s">
        <v>327</v>
      </c>
      <c r="G18" s="56">
        <v>3654629.0948000001</v>
      </c>
    </row>
    <row r="19" spans="3:7" ht="21">
      <c r="D19" s="78" t="s">
        <v>571</v>
      </c>
      <c r="F19" s="79" t="s">
        <v>1432</v>
      </c>
      <c r="G19" s="56">
        <v>255910.177</v>
      </c>
    </row>
    <row r="20" spans="3:7">
      <c r="E20" s="78" t="s">
        <v>261</v>
      </c>
      <c r="F20" s="79" t="s">
        <v>325</v>
      </c>
      <c r="G20" s="56">
        <v>92420.376990000004</v>
      </c>
    </row>
    <row r="21" spans="3:7">
      <c r="E21" s="78" t="s">
        <v>326</v>
      </c>
      <c r="F21" s="79" t="s">
        <v>327</v>
      </c>
      <c r="G21" s="56">
        <v>163489.79999999999</v>
      </c>
    </row>
    <row r="22" spans="3:7">
      <c r="C22" s="78" t="s">
        <v>328</v>
      </c>
      <c r="F22" s="871" t="s">
        <v>329</v>
      </c>
      <c r="G22" s="56">
        <v>705776.40700000001</v>
      </c>
    </row>
    <row r="23" spans="3:7" ht="21">
      <c r="D23" s="78" t="s">
        <v>2467</v>
      </c>
      <c r="F23" s="79" t="s">
        <v>1431</v>
      </c>
      <c r="G23" s="56">
        <v>618875.19200000004</v>
      </c>
    </row>
    <row r="24" spans="3:7">
      <c r="E24" s="78" t="s">
        <v>261</v>
      </c>
      <c r="F24" s="79" t="s">
        <v>325</v>
      </c>
      <c r="G24" s="56">
        <v>88905</v>
      </c>
    </row>
    <row r="25" spans="3:7">
      <c r="E25" s="78" t="s">
        <v>326</v>
      </c>
      <c r="F25" s="79" t="s">
        <v>327</v>
      </c>
      <c r="G25" s="56">
        <v>529970.19200000004</v>
      </c>
    </row>
    <row r="26" spans="3:7" ht="21">
      <c r="D26" s="78" t="s">
        <v>571</v>
      </c>
      <c r="F26" s="79" t="s">
        <v>1432</v>
      </c>
      <c r="G26" s="56">
        <v>86901.214999999997</v>
      </c>
    </row>
    <row r="27" spans="3:7">
      <c r="E27" s="78" t="s">
        <v>261</v>
      </c>
      <c r="F27" s="79" t="s">
        <v>325</v>
      </c>
      <c r="G27" s="56">
        <v>34284</v>
      </c>
    </row>
    <row r="28" spans="3:7">
      <c r="E28" s="78" t="s">
        <v>326</v>
      </c>
      <c r="F28" s="79" t="s">
        <v>327</v>
      </c>
      <c r="G28" s="56">
        <v>52617.214999999997</v>
      </c>
    </row>
    <row r="29" spans="3:7">
      <c r="C29" s="78" t="s">
        <v>251</v>
      </c>
      <c r="F29" s="869" t="s">
        <v>252</v>
      </c>
      <c r="G29" s="56">
        <v>1083799.8084</v>
      </c>
    </row>
    <row r="30" spans="3:7" ht="21">
      <c r="D30" s="78" t="s">
        <v>318</v>
      </c>
      <c r="F30" s="79" t="s">
        <v>613</v>
      </c>
      <c r="G30" s="56">
        <v>1080345.6740000001</v>
      </c>
    </row>
    <row r="31" spans="3:7">
      <c r="D31" s="78" t="s">
        <v>2468</v>
      </c>
      <c r="F31" s="79" t="s">
        <v>2469</v>
      </c>
      <c r="G31" s="56">
        <v>3454.1343999999999</v>
      </c>
    </row>
    <row r="32" spans="3:7">
      <c r="C32" s="78" t="s">
        <v>322</v>
      </c>
      <c r="F32" s="870" t="s">
        <v>323</v>
      </c>
      <c r="G32" s="56">
        <v>994740.57019999996</v>
      </c>
    </row>
    <row r="33" spans="3:14">
      <c r="D33" s="78" t="s">
        <v>283</v>
      </c>
      <c r="F33" s="79" t="s">
        <v>1429</v>
      </c>
      <c r="G33" s="56">
        <v>994740.57019999996</v>
      </c>
    </row>
    <row r="34" spans="3:14">
      <c r="E34" s="78" t="s">
        <v>261</v>
      </c>
      <c r="F34" s="79" t="s">
        <v>325</v>
      </c>
      <c r="G34" s="56">
        <v>19483</v>
      </c>
    </row>
    <row r="35" spans="3:14">
      <c r="E35" s="78" t="s">
        <v>326</v>
      </c>
      <c r="F35" s="79" t="s">
        <v>327</v>
      </c>
      <c r="G35" s="56">
        <v>975257.57019999996</v>
      </c>
      <c r="N35" s="872"/>
    </row>
    <row r="36" spans="3:14">
      <c r="C36" s="78" t="s">
        <v>328</v>
      </c>
      <c r="F36" s="871" t="s">
        <v>329</v>
      </c>
      <c r="G36" s="56">
        <v>496037</v>
      </c>
    </row>
    <row r="37" spans="3:14">
      <c r="D37" s="78" t="s">
        <v>283</v>
      </c>
      <c r="F37" s="79" t="s">
        <v>1429</v>
      </c>
      <c r="G37" s="56">
        <v>496037</v>
      </c>
    </row>
    <row r="38" spans="3:14">
      <c r="C38" s="78" t="s">
        <v>251</v>
      </c>
      <c r="F38" s="79" t="s">
        <v>252</v>
      </c>
      <c r="G38" s="56">
        <v>30152883.151000001</v>
      </c>
    </row>
    <row r="39" spans="3:14" ht="21">
      <c r="D39" s="78" t="s">
        <v>332</v>
      </c>
      <c r="F39" s="79" t="s">
        <v>614</v>
      </c>
      <c r="G39" s="56">
        <v>30152883.151000001</v>
      </c>
    </row>
    <row r="40" spans="3:14" ht="21">
      <c r="E40" s="78" t="s">
        <v>259</v>
      </c>
      <c r="F40" s="79" t="s">
        <v>2470</v>
      </c>
      <c r="G40" s="56">
        <v>29452950.817400001</v>
      </c>
    </row>
    <row r="41" spans="3:14" ht="21">
      <c r="E41" s="78" t="s">
        <v>246</v>
      </c>
      <c r="F41" s="79" t="s">
        <v>2471</v>
      </c>
      <c r="G41" s="56">
        <v>699932.33360000001</v>
      </c>
    </row>
    <row r="42" spans="3:14">
      <c r="C42" s="78" t="s">
        <v>251</v>
      </c>
      <c r="F42" s="79" t="s">
        <v>252</v>
      </c>
      <c r="G42" s="56">
        <v>211914.99919999999</v>
      </c>
    </row>
    <row r="43" spans="3:14">
      <c r="D43" s="78" t="s">
        <v>334</v>
      </c>
      <c r="F43" s="79" t="s">
        <v>615</v>
      </c>
      <c r="G43" s="56">
        <v>211914.99919999999</v>
      </c>
    </row>
    <row r="44" spans="3:14">
      <c r="C44" s="78" t="s">
        <v>322</v>
      </c>
      <c r="F44" s="870" t="s">
        <v>323</v>
      </c>
      <c r="G44" s="56">
        <v>69391</v>
      </c>
    </row>
    <row r="45" spans="3:14" ht="21">
      <c r="D45" s="78" t="s">
        <v>2472</v>
      </c>
      <c r="F45" s="79" t="s">
        <v>1430</v>
      </c>
      <c r="G45" s="56">
        <v>69391</v>
      </c>
    </row>
    <row r="46" spans="3:14">
      <c r="E46" s="78" t="s">
        <v>326</v>
      </c>
      <c r="F46" s="873" t="s">
        <v>690</v>
      </c>
      <c r="G46" s="56">
        <v>69391</v>
      </c>
    </row>
    <row r="47" spans="3:14">
      <c r="F47" s="79"/>
      <c r="G47" s="56"/>
    </row>
    <row r="48" spans="3:14">
      <c r="F48" s="79"/>
      <c r="G48" s="56"/>
    </row>
    <row r="49" spans="1:7" s="877" customFormat="1">
      <c r="A49" s="874" t="s">
        <v>236</v>
      </c>
      <c r="B49" s="874"/>
      <c r="C49" s="874"/>
      <c r="D49" s="874"/>
      <c r="E49" s="874"/>
      <c r="F49" s="875" t="s">
        <v>237</v>
      </c>
      <c r="G49" s="876">
        <v>1039575707.3538001</v>
      </c>
    </row>
    <row r="50" spans="1:7">
      <c r="B50" s="78" t="s">
        <v>238</v>
      </c>
      <c r="F50" s="79" t="s">
        <v>239</v>
      </c>
      <c r="G50" s="56">
        <v>8694823.0744000003</v>
      </c>
    </row>
    <row r="51" spans="1:7">
      <c r="C51" s="78" t="s">
        <v>240</v>
      </c>
      <c r="F51" s="79" t="s">
        <v>1</v>
      </c>
      <c r="G51" s="56">
        <v>4794403.0884999996</v>
      </c>
    </row>
    <row r="52" spans="1:7">
      <c r="D52" s="78" t="s">
        <v>241</v>
      </c>
      <c r="F52" s="79" t="s">
        <v>242</v>
      </c>
      <c r="G52" s="56">
        <v>4794403.0884999996</v>
      </c>
    </row>
    <row r="53" spans="1:7">
      <c r="C53" s="78" t="s">
        <v>251</v>
      </c>
      <c r="F53" s="869" t="s">
        <v>252</v>
      </c>
      <c r="G53" s="56">
        <v>49932</v>
      </c>
    </row>
    <row r="54" spans="1:7" ht="21">
      <c r="D54" s="78" t="s">
        <v>2473</v>
      </c>
      <c r="F54" s="101" t="s">
        <v>2474</v>
      </c>
      <c r="G54" s="56">
        <v>49932</v>
      </c>
    </row>
    <row r="55" spans="1:7" ht="21">
      <c r="E55" s="78" t="s">
        <v>295</v>
      </c>
      <c r="F55" s="101" t="s">
        <v>2475</v>
      </c>
      <c r="G55" s="56">
        <v>49932</v>
      </c>
    </row>
    <row r="56" spans="1:7">
      <c r="C56" s="78" t="s">
        <v>322</v>
      </c>
      <c r="F56" s="870" t="s">
        <v>323</v>
      </c>
      <c r="G56" s="56">
        <v>2794400.0362999998</v>
      </c>
    </row>
    <row r="57" spans="1:7" ht="52.5">
      <c r="D57" s="78" t="s">
        <v>285</v>
      </c>
      <c r="F57" s="79" t="s">
        <v>324</v>
      </c>
      <c r="G57" s="56">
        <v>2794400.0362999998</v>
      </c>
    </row>
    <row r="58" spans="1:7">
      <c r="E58" s="78" t="s">
        <v>261</v>
      </c>
      <c r="F58" s="79" t="s">
        <v>325</v>
      </c>
      <c r="G58" s="56">
        <v>234680.97798</v>
      </c>
    </row>
    <row r="59" spans="1:7">
      <c r="E59" s="78" t="s">
        <v>326</v>
      </c>
      <c r="F59" s="79" t="s">
        <v>327</v>
      </c>
      <c r="G59" s="56">
        <v>2559719.0583000001</v>
      </c>
    </row>
    <row r="60" spans="1:7">
      <c r="C60" s="78" t="s">
        <v>328</v>
      </c>
      <c r="F60" s="871" t="s">
        <v>329</v>
      </c>
      <c r="G60" s="56">
        <v>1056087.9495999999</v>
      </c>
    </row>
    <row r="61" spans="1:7" ht="42">
      <c r="D61" s="78" t="s">
        <v>285</v>
      </c>
      <c r="F61" s="79" t="s">
        <v>330</v>
      </c>
      <c r="G61" s="56">
        <v>1056087.9495999999</v>
      </c>
    </row>
    <row r="62" spans="1:7">
      <c r="E62" s="78" t="s">
        <v>326</v>
      </c>
      <c r="F62" s="79" t="s">
        <v>327</v>
      </c>
      <c r="G62" s="56">
        <v>1056087.9496500001</v>
      </c>
    </row>
    <row r="63" spans="1:7">
      <c r="B63" s="78" t="s">
        <v>243</v>
      </c>
      <c r="F63" s="79" t="s">
        <v>244</v>
      </c>
      <c r="G63" s="56">
        <v>385538820.14819998</v>
      </c>
    </row>
    <row r="64" spans="1:7">
      <c r="C64" s="78" t="s">
        <v>248</v>
      </c>
      <c r="F64" s="79" t="s">
        <v>2</v>
      </c>
      <c r="G64" s="56">
        <v>544408.54180000001</v>
      </c>
    </row>
    <row r="65" spans="3:7">
      <c r="D65" s="78" t="s">
        <v>249</v>
      </c>
      <c r="F65" s="79" t="s">
        <v>250</v>
      </c>
      <c r="G65" s="56">
        <v>544408.54180000001</v>
      </c>
    </row>
    <row r="66" spans="3:7" ht="22.5">
      <c r="C66" s="78" t="s">
        <v>251</v>
      </c>
      <c r="F66" s="100" t="s">
        <v>252</v>
      </c>
      <c r="G66" s="56">
        <v>314762642.56569999</v>
      </c>
    </row>
    <row r="67" spans="3:7" ht="21">
      <c r="D67" s="878" t="s">
        <v>1494</v>
      </c>
      <c r="F67" s="101" t="s">
        <v>2111</v>
      </c>
      <c r="G67" s="56">
        <v>297303777.78820002</v>
      </c>
    </row>
    <row r="68" spans="3:7">
      <c r="E68" s="78" t="s">
        <v>265</v>
      </c>
      <c r="F68" s="101" t="s">
        <v>263</v>
      </c>
      <c r="G68" s="56">
        <v>223229344.60389999</v>
      </c>
    </row>
    <row r="69" spans="3:7">
      <c r="E69" s="78" t="s">
        <v>267</v>
      </c>
      <c r="F69" s="101" t="s">
        <v>264</v>
      </c>
      <c r="G69" s="56">
        <v>72292845</v>
      </c>
    </row>
    <row r="70" spans="3:7" ht="21">
      <c r="E70" s="78" t="s">
        <v>390</v>
      </c>
      <c r="F70" s="101" t="s">
        <v>2476</v>
      </c>
      <c r="G70" s="56">
        <v>1781588.1842499999</v>
      </c>
    </row>
    <row r="71" spans="3:7" ht="31.5">
      <c r="D71" s="78" t="s">
        <v>1499</v>
      </c>
      <c r="F71" s="101" t="s">
        <v>2177</v>
      </c>
      <c r="G71" s="56">
        <v>17458864.7775</v>
      </c>
    </row>
    <row r="72" spans="3:7" ht="31.5">
      <c r="E72" s="78" t="s">
        <v>265</v>
      </c>
      <c r="F72" s="101" t="s">
        <v>2176</v>
      </c>
      <c r="G72" s="56">
        <v>1767336.4635000001</v>
      </c>
    </row>
    <row r="73" spans="3:7" ht="31.5">
      <c r="E73" s="78" t="s">
        <v>267</v>
      </c>
      <c r="F73" s="101" t="s">
        <v>2175</v>
      </c>
      <c r="G73" s="56">
        <v>1990737.5564999999</v>
      </c>
    </row>
    <row r="74" spans="3:7">
      <c r="E74" s="78" t="s">
        <v>269</v>
      </c>
      <c r="F74" s="101" t="s">
        <v>266</v>
      </c>
      <c r="G74" s="56">
        <v>6470037</v>
      </c>
    </row>
    <row r="75" spans="3:7">
      <c r="E75" s="78" t="s">
        <v>271</v>
      </c>
      <c r="F75" s="101" t="s">
        <v>268</v>
      </c>
      <c r="G75" s="56">
        <v>4468913</v>
      </c>
    </row>
    <row r="76" spans="3:7">
      <c r="E76" s="78" t="s">
        <v>388</v>
      </c>
      <c r="F76" s="101" t="s">
        <v>270</v>
      </c>
      <c r="G76" s="56">
        <v>82443</v>
      </c>
    </row>
    <row r="77" spans="3:7" ht="21">
      <c r="E77" s="78" t="s">
        <v>390</v>
      </c>
      <c r="F77" s="101" t="s">
        <v>272</v>
      </c>
      <c r="G77" s="56">
        <v>2394347</v>
      </c>
    </row>
    <row r="78" spans="3:7">
      <c r="E78" s="78" t="s">
        <v>392</v>
      </c>
      <c r="F78" s="101" t="s">
        <v>254</v>
      </c>
      <c r="G78" s="56">
        <v>54839.691599999998</v>
      </c>
    </row>
    <row r="79" spans="3:7">
      <c r="E79" s="78" t="s">
        <v>2174</v>
      </c>
      <c r="F79" s="101" t="s">
        <v>315</v>
      </c>
      <c r="G79" s="56">
        <v>337.06599999999997</v>
      </c>
    </row>
    <row r="80" spans="3:7" ht="21">
      <c r="E80" s="78" t="s">
        <v>246</v>
      </c>
      <c r="F80" s="101" t="s">
        <v>300</v>
      </c>
      <c r="G80" s="56">
        <v>229874</v>
      </c>
    </row>
    <row r="81" spans="3:7">
      <c r="C81" s="78" t="s">
        <v>277</v>
      </c>
      <c r="F81" s="79" t="s">
        <v>278</v>
      </c>
      <c r="G81" s="56">
        <v>13562061.867799999</v>
      </c>
    </row>
    <row r="82" spans="3:7" ht="21">
      <c r="D82" s="78" t="s">
        <v>1486</v>
      </c>
      <c r="F82" s="79" t="s">
        <v>1487</v>
      </c>
      <c r="G82" s="56">
        <v>143757</v>
      </c>
    </row>
    <row r="83" spans="3:7" ht="21">
      <c r="D83" s="78" t="s">
        <v>2477</v>
      </c>
      <c r="F83" s="79" t="s">
        <v>2478</v>
      </c>
      <c r="G83" s="56">
        <v>13418304.867799999</v>
      </c>
    </row>
    <row r="84" spans="3:7">
      <c r="E84" s="78" t="s">
        <v>257</v>
      </c>
      <c r="F84" s="79" t="s">
        <v>280</v>
      </c>
      <c r="G84" s="56">
        <v>13418304.867900001</v>
      </c>
    </row>
    <row r="85" spans="3:7">
      <c r="C85" s="78" t="s">
        <v>322</v>
      </c>
      <c r="F85" s="870" t="s">
        <v>323</v>
      </c>
      <c r="G85" s="56">
        <v>13982738.4212</v>
      </c>
    </row>
    <row r="86" spans="3:7" ht="21">
      <c r="D86" s="78" t="s">
        <v>318</v>
      </c>
      <c r="F86" s="79" t="s">
        <v>331</v>
      </c>
      <c r="G86" s="56">
        <v>9083353.0788000003</v>
      </c>
    </row>
    <row r="87" spans="3:7">
      <c r="E87" s="78" t="s">
        <v>261</v>
      </c>
      <c r="F87" s="79" t="s">
        <v>325</v>
      </c>
      <c r="G87" s="56">
        <v>833171.40020000003</v>
      </c>
    </row>
    <row r="88" spans="3:7">
      <c r="E88" s="78" t="s">
        <v>326</v>
      </c>
      <c r="F88" s="79" t="s">
        <v>327</v>
      </c>
      <c r="G88" s="56">
        <v>8250181.6786000002</v>
      </c>
    </row>
    <row r="89" spans="3:7">
      <c r="D89" s="78" t="s">
        <v>332</v>
      </c>
      <c r="F89" s="79" t="s">
        <v>333</v>
      </c>
      <c r="G89" s="56">
        <v>3123404.8505000002</v>
      </c>
    </row>
    <row r="90" spans="3:7">
      <c r="E90" s="78" t="s">
        <v>261</v>
      </c>
      <c r="F90" s="79" t="s">
        <v>325</v>
      </c>
      <c r="G90" s="56">
        <v>479936.3751</v>
      </c>
    </row>
    <row r="91" spans="3:7">
      <c r="E91" s="78" t="s">
        <v>326</v>
      </c>
      <c r="F91" s="79" t="s">
        <v>327</v>
      </c>
      <c r="G91" s="56">
        <v>2643468.4756</v>
      </c>
    </row>
    <row r="92" spans="3:7">
      <c r="D92" s="78" t="s">
        <v>334</v>
      </c>
      <c r="F92" s="79" t="s">
        <v>270</v>
      </c>
      <c r="G92" s="56">
        <v>1767882.6577999999</v>
      </c>
    </row>
    <row r="93" spans="3:7">
      <c r="E93" s="78" t="s">
        <v>261</v>
      </c>
      <c r="F93" s="79" t="s">
        <v>325</v>
      </c>
      <c r="G93" s="56">
        <v>89628.648799999995</v>
      </c>
    </row>
    <row r="94" spans="3:7">
      <c r="E94" s="78" t="s">
        <v>326</v>
      </c>
      <c r="F94" s="79" t="s">
        <v>327</v>
      </c>
      <c r="G94" s="56">
        <v>1678254.0088</v>
      </c>
    </row>
    <row r="95" spans="3:7" ht="21">
      <c r="D95" s="78" t="s">
        <v>301</v>
      </c>
      <c r="F95" s="79" t="s">
        <v>336</v>
      </c>
      <c r="G95" s="56">
        <v>8097.8339999999998</v>
      </c>
    </row>
    <row r="96" spans="3:7">
      <c r="E96" s="78" t="s">
        <v>326</v>
      </c>
      <c r="F96" s="79" t="s">
        <v>562</v>
      </c>
      <c r="G96" s="56">
        <v>8097.8339999999998</v>
      </c>
    </row>
    <row r="97" spans="3:7">
      <c r="C97" s="78" t="s">
        <v>396</v>
      </c>
      <c r="F97" s="79" t="s">
        <v>397</v>
      </c>
      <c r="G97" s="56">
        <v>14171647.928400001</v>
      </c>
    </row>
    <row r="98" spans="3:7">
      <c r="D98" s="78" t="s">
        <v>358</v>
      </c>
      <c r="F98" s="79" t="s">
        <v>292</v>
      </c>
      <c r="G98" s="56">
        <v>14171647.928400001</v>
      </c>
    </row>
    <row r="99" spans="3:7">
      <c r="E99" s="78" t="s">
        <v>261</v>
      </c>
      <c r="F99" s="79" t="s">
        <v>325</v>
      </c>
      <c r="G99" s="56">
        <v>5145118.8365500001</v>
      </c>
    </row>
    <row r="100" spans="3:7">
      <c r="E100" s="78" t="s">
        <v>326</v>
      </c>
      <c r="F100" s="79" t="s">
        <v>327</v>
      </c>
      <c r="G100" s="56">
        <v>9026529.0918000005</v>
      </c>
    </row>
    <row r="101" spans="3:7" ht="21">
      <c r="C101" s="78" t="s">
        <v>399</v>
      </c>
      <c r="F101" s="79" t="s">
        <v>4</v>
      </c>
      <c r="G101" s="56">
        <v>1835074.5811999999</v>
      </c>
    </row>
    <row r="102" spans="3:7">
      <c r="D102" s="78" t="s">
        <v>297</v>
      </c>
      <c r="F102" s="79" t="s">
        <v>292</v>
      </c>
      <c r="G102" s="56">
        <v>1835074.5811999999</v>
      </c>
    </row>
    <row r="103" spans="3:7">
      <c r="E103" s="78" t="s">
        <v>261</v>
      </c>
      <c r="F103" s="79" t="s">
        <v>325</v>
      </c>
      <c r="G103" s="56">
        <v>1241611</v>
      </c>
    </row>
    <row r="104" spans="3:7">
      <c r="E104" s="78" t="s">
        <v>326</v>
      </c>
      <c r="F104" s="79" t="s">
        <v>327</v>
      </c>
      <c r="G104" s="56">
        <v>593463.58115999994</v>
      </c>
    </row>
    <row r="105" spans="3:7">
      <c r="C105" s="78" t="s">
        <v>400</v>
      </c>
      <c r="F105" s="79" t="s">
        <v>5</v>
      </c>
      <c r="G105" s="56">
        <v>6795501.2418</v>
      </c>
    </row>
    <row r="106" spans="3:7">
      <c r="D106" s="78" t="s">
        <v>358</v>
      </c>
      <c r="F106" s="79" t="s">
        <v>292</v>
      </c>
      <c r="G106" s="56">
        <v>6795501.2418</v>
      </c>
    </row>
    <row r="107" spans="3:7">
      <c r="E107" s="78" t="s">
        <v>261</v>
      </c>
      <c r="F107" s="79" t="s">
        <v>325</v>
      </c>
      <c r="G107" s="56">
        <v>5504475</v>
      </c>
    </row>
    <row r="108" spans="3:7">
      <c r="E108" s="78" t="s">
        <v>326</v>
      </c>
      <c r="F108" s="79" t="s">
        <v>327</v>
      </c>
      <c r="G108" s="56">
        <v>1291026.2418</v>
      </c>
    </row>
    <row r="109" spans="3:7">
      <c r="C109" s="78" t="s">
        <v>328</v>
      </c>
      <c r="F109" s="871" t="s">
        <v>329</v>
      </c>
      <c r="G109" s="56">
        <v>2792788.4134999998</v>
      </c>
    </row>
    <row r="110" spans="3:7" ht="21">
      <c r="D110" s="78" t="s">
        <v>318</v>
      </c>
      <c r="F110" s="79" t="s">
        <v>331</v>
      </c>
      <c r="G110" s="56">
        <v>1797367.875</v>
      </c>
    </row>
    <row r="111" spans="3:7">
      <c r="E111" s="78" t="s">
        <v>326</v>
      </c>
      <c r="F111" s="79" t="s">
        <v>327</v>
      </c>
      <c r="G111" s="56">
        <v>1797367.8750100001</v>
      </c>
    </row>
    <row r="112" spans="3:7">
      <c r="D112" s="78" t="s">
        <v>332</v>
      </c>
      <c r="F112" s="79" t="s">
        <v>333</v>
      </c>
      <c r="G112" s="56">
        <v>593361.48670000001</v>
      </c>
    </row>
    <row r="113" spans="3:7">
      <c r="E113" s="78" t="s">
        <v>261</v>
      </c>
      <c r="F113" s="79" t="s">
        <v>325</v>
      </c>
      <c r="G113" s="56">
        <v>110319</v>
      </c>
    </row>
    <row r="114" spans="3:7">
      <c r="E114" s="78" t="s">
        <v>326</v>
      </c>
      <c r="F114" s="79" t="s">
        <v>327</v>
      </c>
      <c r="G114" s="56">
        <v>483042.4866</v>
      </c>
    </row>
    <row r="115" spans="3:7">
      <c r="D115" s="78" t="s">
        <v>334</v>
      </c>
      <c r="F115" s="79" t="s">
        <v>270</v>
      </c>
      <c r="G115" s="56">
        <v>400724.98180000001</v>
      </c>
    </row>
    <row r="116" spans="3:7">
      <c r="E116" s="78" t="s">
        <v>261</v>
      </c>
      <c r="F116" s="79" t="s">
        <v>325</v>
      </c>
      <c r="G116" s="56">
        <v>10814</v>
      </c>
    </row>
    <row r="117" spans="3:7">
      <c r="E117" s="78" t="s">
        <v>326</v>
      </c>
      <c r="F117" s="79" t="s">
        <v>327</v>
      </c>
      <c r="G117" s="56">
        <v>389910.98181999999</v>
      </c>
    </row>
    <row r="118" spans="3:7" ht="21">
      <c r="D118" s="78" t="s">
        <v>301</v>
      </c>
      <c r="F118" s="79" t="s">
        <v>336</v>
      </c>
      <c r="G118" s="56">
        <v>1334.07</v>
      </c>
    </row>
    <row r="119" spans="3:7">
      <c r="C119" s="78" t="s">
        <v>403</v>
      </c>
      <c r="F119" s="79" t="s">
        <v>404</v>
      </c>
      <c r="G119" s="56">
        <v>5431072.8503999999</v>
      </c>
    </row>
    <row r="120" spans="3:7">
      <c r="D120" s="78" t="s">
        <v>253</v>
      </c>
      <c r="F120" s="79" t="s">
        <v>405</v>
      </c>
      <c r="G120" s="56">
        <v>6000</v>
      </c>
    </row>
    <row r="121" spans="3:7">
      <c r="E121" s="78" t="s">
        <v>326</v>
      </c>
      <c r="F121" s="79" t="s">
        <v>327</v>
      </c>
      <c r="G121" s="56">
        <v>6000</v>
      </c>
    </row>
    <row r="122" spans="3:7">
      <c r="D122" s="78" t="s">
        <v>358</v>
      </c>
      <c r="F122" s="79" t="s">
        <v>292</v>
      </c>
      <c r="G122" s="56">
        <v>5425072.8503999999</v>
      </c>
    </row>
    <row r="123" spans="3:7">
      <c r="E123" s="78" t="s">
        <v>261</v>
      </c>
      <c r="F123" s="79" t="s">
        <v>325</v>
      </c>
      <c r="G123" s="56">
        <v>799201</v>
      </c>
    </row>
    <row r="124" spans="3:7">
      <c r="E124" s="78" t="s">
        <v>326</v>
      </c>
      <c r="F124" s="79" t="s">
        <v>327</v>
      </c>
      <c r="G124" s="56">
        <v>4625871.8504299996</v>
      </c>
    </row>
    <row r="125" spans="3:7">
      <c r="C125" s="78" t="s">
        <v>282</v>
      </c>
      <c r="F125" s="79" t="s">
        <v>3</v>
      </c>
      <c r="G125" s="56">
        <v>11660883.7366</v>
      </c>
    </row>
    <row r="126" spans="3:7" ht="21">
      <c r="D126" s="78" t="s">
        <v>381</v>
      </c>
      <c r="F126" s="79" t="s">
        <v>2479</v>
      </c>
      <c r="G126" s="56">
        <v>11660883.7366</v>
      </c>
    </row>
    <row r="127" spans="3:7" ht="21">
      <c r="E127" s="78" t="s">
        <v>257</v>
      </c>
      <c r="F127" s="79" t="s">
        <v>284</v>
      </c>
      <c r="G127" s="56">
        <v>247225</v>
      </c>
    </row>
    <row r="128" spans="3:7">
      <c r="E128" s="78" t="s">
        <v>259</v>
      </c>
      <c r="F128" s="79" t="s">
        <v>2480</v>
      </c>
      <c r="G128" s="56">
        <v>11263988.73656</v>
      </c>
    </row>
    <row r="129" spans="2:7">
      <c r="E129" s="78" t="s">
        <v>265</v>
      </c>
      <c r="F129" s="79" t="s">
        <v>319</v>
      </c>
      <c r="G129" s="56">
        <v>95340</v>
      </c>
    </row>
    <row r="130" spans="2:7" ht="21">
      <c r="E130" s="78" t="s">
        <v>246</v>
      </c>
      <c r="F130" s="79" t="s">
        <v>2481</v>
      </c>
      <c r="G130" s="56">
        <v>54330</v>
      </c>
    </row>
    <row r="131" spans="2:7">
      <c r="B131" s="78" t="s">
        <v>337</v>
      </c>
      <c r="F131" s="79" t="s">
        <v>338</v>
      </c>
      <c r="G131" s="56">
        <v>189831168.4727</v>
      </c>
    </row>
    <row r="132" spans="2:7">
      <c r="C132" s="78" t="s">
        <v>322</v>
      </c>
      <c r="F132" s="870" t="s">
        <v>323</v>
      </c>
      <c r="G132" s="56">
        <v>156510901.5018</v>
      </c>
    </row>
    <row r="133" spans="2:7" ht="31.5">
      <c r="D133" s="78" t="s">
        <v>253</v>
      </c>
      <c r="F133" s="79" t="s">
        <v>339</v>
      </c>
      <c r="G133" s="56">
        <v>69558341.576000005</v>
      </c>
    </row>
    <row r="134" spans="2:7">
      <c r="E134" s="78" t="s">
        <v>261</v>
      </c>
      <c r="F134" s="79" t="s">
        <v>325</v>
      </c>
      <c r="G134" s="56">
        <v>11267162.0057</v>
      </c>
    </row>
    <row r="135" spans="2:7">
      <c r="E135" s="78" t="s">
        <v>326</v>
      </c>
      <c r="F135" s="79" t="s">
        <v>327</v>
      </c>
      <c r="G135" s="56">
        <v>58291179.570299998</v>
      </c>
    </row>
    <row r="136" spans="2:7">
      <c r="D136" s="78" t="s">
        <v>249</v>
      </c>
      <c r="F136" s="79" t="s">
        <v>340</v>
      </c>
      <c r="G136" s="56">
        <v>5386847.5853000004</v>
      </c>
    </row>
    <row r="137" spans="2:7">
      <c r="E137" s="78" t="s">
        <v>261</v>
      </c>
      <c r="F137" s="79" t="s">
        <v>325</v>
      </c>
      <c r="G137" s="56">
        <v>5386847.5853000004</v>
      </c>
    </row>
    <row r="138" spans="2:7">
      <c r="D138" s="78" t="s">
        <v>303</v>
      </c>
      <c r="F138" s="79" t="s">
        <v>341</v>
      </c>
      <c r="G138" s="56">
        <v>8426345.9285000004</v>
      </c>
    </row>
    <row r="139" spans="2:7">
      <c r="E139" s="78" t="s">
        <v>261</v>
      </c>
      <c r="F139" s="79" t="s">
        <v>325</v>
      </c>
      <c r="G139" s="56">
        <v>7003792.9993000003</v>
      </c>
    </row>
    <row r="140" spans="2:7">
      <c r="E140" s="78" t="s">
        <v>326</v>
      </c>
      <c r="F140" s="79" t="s">
        <v>327</v>
      </c>
      <c r="G140" s="56">
        <v>1422552.9291999999</v>
      </c>
    </row>
    <row r="141" spans="2:7">
      <c r="D141" s="78" t="s">
        <v>307</v>
      </c>
      <c r="F141" s="79" t="s">
        <v>342</v>
      </c>
      <c r="G141" s="56">
        <v>3358874.2862999998</v>
      </c>
    </row>
    <row r="142" spans="2:7">
      <c r="E142" s="78" t="s">
        <v>261</v>
      </c>
      <c r="F142" s="79" t="s">
        <v>325</v>
      </c>
      <c r="G142" s="56">
        <v>3344296.0247</v>
      </c>
    </row>
    <row r="143" spans="2:7">
      <c r="E143" s="78" t="s">
        <v>326</v>
      </c>
      <c r="F143" s="79" t="s">
        <v>327</v>
      </c>
      <c r="G143" s="56">
        <v>14578.261630000001</v>
      </c>
    </row>
    <row r="144" spans="2:7" ht="42">
      <c r="D144" s="78" t="s">
        <v>309</v>
      </c>
      <c r="F144" s="79" t="s">
        <v>2482</v>
      </c>
      <c r="G144" s="56">
        <v>7885893.6908</v>
      </c>
    </row>
    <row r="145" spans="3:7">
      <c r="E145" s="78" t="s">
        <v>261</v>
      </c>
      <c r="F145" s="79" t="s">
        <v>325</v>
      </c>
      <c r="G145" s="56">
        <v>6854300.5179000003</v>
      </c>
    </row>
    <row r="146" spans="3:7">
      <c r="E146" s="78" t="s">
        <v>326</v>
      </c>
      <c r="F146" s="79" t="s">
        <v>327</v>
      </c>
      <c r="G146" s="56">
        <v>1031593.1727999999</v>
      </c>
    </row>
    <row r="147" spans="3:7">
      <c r="D147" s="78" t="s">
        <v>344</v>
      </c>
      <c r="F147" s="79" t="s">
        <v>345</v>
      </c>
      <c r="G147" s="56">
        <v>7573218.5294000003</v>
      </c>
    </row>
    <row r="148" spans="3:7">
      <c r="E148" s="78" t="s">
        <v>261</v>
      </c>
      <c r="F148" s="79" t="s">
        <v>325</v>
      </c>
      <c r="G148" s="56">
        <v>7535195.7297</v>
      </c>
    </row>
    <row r="149" spans="3:7">
      <c r="E149" s="78" t="s">
        <v>326</v>
      </c>
      <c r="F149" s="79" t="s">
        <v>327</v>
      </c>
      <c r="G149" s="56">
        <v>38022.799709999999</v>
      </c>
    </row>
    <row r="150" spans="3:7" ht="31.5">
      <c r="D150" s="78" t="s">
        <v>346</v>
      </c>
      <c r="F150" s="79" t="s">
        <v>347</v>
      </c>
      <c r="G150" s="56">
        <v>25427849.986400001</v>
      </c>
    </row>
    <row r="151" spans="3:7">
      <c r="E151" s="78" t="s">
        <v>261</v>
      </c>
      <c r="F151" s="79" t="s">
        <v>325</v>
      </c>
      <c r="G151" s="56">
        <v>22803057.194899999</v>
      </c>
    </row>
    <row r="152" spans="3:7">
      <c r="E152" s="78" t="s">
        <v>326</v>
      </c>
      <c r="F152" s="79" t="s">
        <v>327</v>
      </c>
      <c r="G152" s="56">
        <v>2624792.7916000001</v>
      </c>
    </row>
    <row r="153" spans="3:7" ht="21">
      <c r="D153" s="78" t="s">
        <v>348</v>
      </c>
      <c r="F153" s="79" t="s">
        <v>349</v>
      </c>
      <c r="G153" s="56">
        <v>595192.77930000005</v>
      </c>
    </row>
    <row r="154" spans="3:7">
      <c r="E154" s="78" t="s">
        <v>261</v>
      </c>
      <c r="F154" s="79" t="s">
        <v>325</v>
      </c>
      <c r="G154" s="56">
        <v>595192.77930000005</v>
      </c>
    </row>
    <row r="155" spans="3:7" ht="21">
      <c r="D155" s="78" t="s">
        <v>350</v>
      </c>
      <c r="F155" s="79" t="s">
        <v>351</v>
      </c>
      <c r="G155" s="56">
        <v>28298337.139800001</v>
      </c>
    </row>
    <row r="156" spans="3:7">
      <c r="E156" s="78" t="s">
        <v>261</v>
      </c>
      <c r="F156" s="79" t="s">
        <v>325</v>
      </c>
      <c r="G156" s="56">
        <v>24748233.14181</v>
      </c>
    </row>
    <row r="157" spans="3:7">
      <c r="E157" s="78" t="s">
        <v>326</v>
      </c>
      <c r="F157" s="79" t="s">
        <v>327</v>
      </c>
      <c r="G157" s="56">
        <v>3550103.9980000001</v>
      </c>
    </row>
    <row r="158" spans="3:7">
      <c r="C158" s="78" t="s">
        <v>328</v>
      </c>
      <c r="F158" s="871" t="s">
        <v>329</v>
      </c>
      <c r="G158" s="56">
        <v>33320266.970899999</v>
      </c>
    </row>
    <row r="159" spans="3:7" ht="31.5">
      <c r="D159" s="78" t="s">
        <v>253</v>
      </c>
      <c r="F159" s="79" t="s">
        <v>339</v>
      </c>
      <c r="G159" s="56">
        <v>13197265.187100001</v>
      </c>
    </row>
    <row r="160" spans="3:7">
      <c r="E160" s="78" t="s">
        <v>261</v>
      </c>
      <c r="F160" s="79" t="s">
        <v>325</v>
      </c>
      <c r="G160" s="56">
        <v>1814063.6617000001</v>
      </c>
    </row>
    <row r="161" spans="4:7">
      <c r="E161" s="78" t="s">
        <v>326</v>
      </c>
      <c r="F161" s="79" t="s">
        <v>327</v>
      </c>
      <c r="G161" s="56">
        <v>11383201.525429999</v>
      </c>
    </row>
    <row r="162" spans="4:7">
      <c r="D162" s="78" t="s">
        <v>249</v>
      </c>
      <c r="F162" s="79" t="s">
        <v>340</v>
      </c>
      <c r="G162" s="56">
        <v>505069.52590000001</v>
      </c>
    </row>
    <row r="163" spans="4:7">
      <c r="E163" s="78" t="s">
        <v>261</v>
      </c>
      <c r="F163" s="79" t="s">
        <v>325</v>
      </c>
      <c r="G163" s="56">
        <v>505069.52594000002</v>
      </c>
    </row>
    <row r="164" spans="4:7">
      <c r="D164" s="78" t="s">
        <v>303</v>
      </c>
      <c r="F164" s="79" t="s">
        <v>341</v>
      </c>
      <c r="G164" s="56">
        <v>1642465.4785</v>
      </c>
    </row>
    <row r="165" spans="4:7">
      <c r="E165" s="78" t="s">
        <v>261</v>
      </c>
      <c r="F165" s="79" t="s">
        <v>325</v>
      </c>
      <c r="G165" s="56">
        <v>1642465.47847</v>
      </c>
    </row>
    <row r="166" spans="4:7">
      <c r="D166" s="78" t="s">
        <v>307</v>
      </c>
      <c r="F166" s="79" t="s">
        <v>342</v>
      </c>
      <c r="G166" s="56">
        <v>867422.19579999999</v>
      </c>
    </row>
    <row r="167" spans="4:7">
      <c r="E167" s="78" t="s">
        <v>261</v>
      </c>
      <c r="F167" s="79" t="s">
        <v>325</v>
      </c>
      <c r="G167" s="56">
        <v>867422.19579999999</v>
      </c>
    </row>
    <row r="168" spans="4:7" ht="42">
      <c r="D168" s="78" t="s">
        <v>309</v>
      </c>
      <c r="F168" s="79" t="s">
        <v>2482</v>
      </c>
      <c r="G168" s="56">
        <v>2034962.1044999999</v>
      </c>
    </row>
    <row r="169" spans="4:7">
      <c r="E169" s="78" t="s">
        <v>261</v>
      </c>
      <c r="F169" s="79" t="s">
        <v>325</v>
      </c>
      <c r="G169" s="56">
        <v>1605410.1052000001</v>
      </c>
    </row>
    <row r="170" spans="4:7">
      <c r="E170" s="78" t="s">
        <v>326</v>
      </c>
      <c r="F170" s="79" t="s">
        <v>327</v>
      </c>
      <c r="G170" s="56">
        <v>429551.99932</v>
      </c>
    </row>
    <row r="171" spans="4:7">
      <c r="D171" s="78" t="s">
        <v>344</v>
      </c>
      <c r="F171" s="79" t="s">
        <v>345</v>
      </c>
      <c r="G171" s="56">
        <v>2588072.8215999999</v>
      </c>
    </row>
    <row r="172" spans="4:7">
      <c r="E172" s="78" t="s">
        <v>261</v>
      </c>
      <c r="F172" s="79" t="s">
        <v>325</v>
      </c>
      <c r="G172" s="56">
        <v>2588072.82155</v>
      </c>
    </row>
    <row r="173" spans="4:7" ht="31.5">
      <c r="D173" s="78" t="s">
        <v>346</v>
      </c>
      <c r="F173" s="79" t="s">
        <v>347</v>
      </c>
      <c r="G173" s="56">
        <v>3955190.18</v>
      </c>
    </row>
    <row r="174" spans="4:7">
      <c r="E174" s="78" t="s">
        <v>261</v>
      </c>
      <c r="F174" s="79" t="s">
        <v>325</v>
      </c>
      <c r="G174" s="56">
        <v>3547493.7770199999</v>
      </c>
    </row>
    <row r="175" spans="4:7">
      <c r="E175" s="78" t="s">
        <v>326</v>
      </c>
      <c r="F175" s="79" t="s">
        <v>327</v>
      </c>
      <c r="G175" s="56">
        <v>407696.40299999999</v>
      </c>
    </row>
    <row r="176" spans="4:7" ht="21">
      <c r="D176" s="78" t="s">
        <v>348</v>
      </c>
      <c r="F176" s="79" t="s">
        <v>349</v>
      </c>
      <c r="G176" s="56">
        <v>177627.03769999999</v>
      </c>
    </row>
    <row r="177" spans="2:7">
      <c r="E177" s="78" t="s">
        <v>261</v>
      </c>
      <c r="F177" s="79" t="s">
        <v>325</v>
      </c>
      <c r="G177" s="56">
        <v>177627.03768000001</v>
      </c>
    </row>
    <row r="178" spans="2:7" ht="21">
      <c r="D178" s="78" t="s">
        <v>350</v>
      </c>
      <c r="F178" s="79" t="s">
        <v>351</v>
      </c>
      <c r="G178" s="56">
        <v>8352192.4397999998</v>
      </c>
    </row>
    <row r="179" spans="2:7">
      <c r="E179" s="78" t="s">
        <v>261</v>
      </c>
      <c r="F179" s="79" t="s">
        <v>325</v>
      </c>
      <c r="G179" s="56">
        <v>7038225.4397999998</v>
      </c>
    </row>
    <row r="180" spans="2:7">
      <c r="E180" s="78" t="s">
        <v>326</v>
      </c>
      <c r="F180" s="79" t="s">
        <v>327</v>
      </c>
      <c r="G180" s="56">
        <v>1313967</v>
      </c>
    </row>
    <row r="181" spans="2:7">
      <c r="B181" s="78" t="s">
        <v>352</v>
      </c>
      <c r="F181" s="79" t="s">
        <v>353</v>
      </c>
      <c r="G181" s="56">
        <v>332613936.71450001</v>
      </c>
    </row>
    <row r="182" spans="2:7">
      <c r="C182" s="78" t="s">
        <v>322</v>
      </c>
      <c r="F182" s="870" t="s">
        <v>323</v>
      </c>
      <c r="G182" s="56">
        <v>294323779.38529998</v>
      </c>
    </row>
    <row r="183" spans="2:7" ht="31.5">
      <c r="D183" s="78" t="s">
        <v>289</v>
      </c>
      <c r="F183" s="79" t="s">
        <v>354</v>
      </c>
      <c r="G183" s="56">
        <v>21879029.396400001</v>
      </c>
    </row>
    <row r="184" spans="2:7">
      <c r="E184" s="78" t="s">
        <v>261</v>
      </c>
      <c r="F184" s="79" t="s">
        <v>325</v>
      </c>
      <c r="G184" s="56">
        <v>2127570.1611000001</v>
      </c>
    </row>
    <row r="185" spans="2:7" ht="21">
      <c r="E185" s="78" t="s">
        <v>259</v>
      </c>
      <c r="F185" s="79" t="s">
        <v>355</v>
      </c>
      <c r="G185" s="56">
        <v>86925.367970000007</v>
      </c>
    </row>
    <row r="186" spans="2:7">
      <c r="E186" s="78" t="s">
        <v>265</v>
      </c>
      <c r="F186" s="79" t="s">
        <v>356</v>
      </c>
      <c r="G186" s="56">
        <v>32319.162079999998</v>
      </c>
    </row>
    <row r="187" spans="2:7" ht="21">
      <c r="E187" s="78" t="s">
        <v>267</v>
      </c>
      <c r="F187" s="79" t="s">
        <v>357</v>
      </c>
      <c r="G187" s="56">
        <v>80532.984200000006</v>
      </c>
    </row>
    <row r="188" spans="2:7" ht="31.5">
      <c r="E188" s="78" t="s">
        <v>269</v>
      </c>
      <c r="F188" s="79" t="s">
        <v>354</v>
      </c>
      <c r="G188" s="56">
        <v>19551681.721099999</v>
      </c>
    </row>
    <row r="189" spans="2:7" ht="21">
      <c r="D189" s="78" t="s">
        <v>358</v>
      </c>
      <c r="F189" s="79" t="s">
        <v>359</v>
      </c>
      <c r="G189" s="56">
        <v>3337679.9260999998</v>
      </c>
    </row>
    <row r="190" spans="2:7">
      <c r="E190" s="78" t="s">
        <v>261</v>
      </c>
      <c r="F190" s="79" t="s">
        <v>325</v>
      </c>
      <c r="G190" s="56">
        <v>3337679.9260999998</v>
      </c>
    </row>
    <row r="191" spans="2:7" ht="31.5">
      <c r="D191" s="78" t="s">
        <v>291</v>
      </c>
      <c r="F191" s="79" t="s">
        <v>360</v>
      </c>
      <c r="G191" s="56">
        <v>259074454.67140001</v>
      </c>
    </row>
    <row r="192" spans="2:7">
      <c r="E192" s="78" t="s">
        <v>261</v>
      </c>
      <c r="F192" s="79" t="s">
        <v>325</v>
      </c>
      <c r="G192" s="56">
        <v>244377491.08090001</v>
      </c>
    </row>
    <row r="193" spans="3:7">
      <c r="E193" s="78" t="s">
        <v>326</v>
      </c>
      <c r="F193" s="79" t="s">
        <v>327</v>
      </c>
      <c r="G193" s="56">
        <v>14696963.590399999</v>
      </c>
    </row>
    <row r="194" spans="3:7" ht="21">
      <c r="D194" s="78" t="s">
        <v>361</v>
      </c>
      <c r="F194" s="79" t="s">
        <v>362</v>
      </c>
      <c r="G194" s="56">
        <v>10032615.3913</v>
      </c>
    </row>
    <row r="195" spans="3:7">
      <c r="E195" s="78" t="s">
        <v>261</v>
      </c>
      <c r="F195" s="79" t="s">
        <v>325</v>
      </c>
      <c r="G195" s="56">
        <v>5359422.1798</v>
      </c>
    </row>
    <row r="196" spans="3:7">
      <c r="E196" s="78" t="s">
        <v>326</v>
      </c>
      <c r="F196" s="79" t="s">
        <v>327</v>
      </c>
      <c r="G196" s="56">
        <v>4673193.2115000002</v>
      </c>
    </row>
    <row r="197" spans="3:7">
      <c r="C197" s="78" t="s">
        <v>328</v>
      </c>
      <c r="F197" s="871" t="s">
        <v>329</v>
      </c>
      <c r="G197" s="56">
        <v>38290157.3292</v>
      </c>
    </row>
    <row r="198" spans="3:7" ht="31.5">
      <c r="D198" s="78" t="s">
        <v>289</v>
      </c>
      <c r="F198" s="79" t="s">
        <v>354</v>
      </c>
      <c r="G198" s="56">
        <v>5206816.7024999997</v>
      </c>
    </row>
    <row r="199" spans="3:7" ht="21">
      <c r="E199" s="78" t="s">
        <v>259</v>
      </c>
      <c r="F199" s="79" t="s">
        <v>355</v>
      </c>
      <c r="G199" s="56">
        <v>89069.703139999998</v>
      </c>
    </row>
    <row r="200" spans="3:7" ht="31.5">
      <c r="E200" s="78" t="s">
        <v>269</v>
      </c>
      <c r="F200" s="79" t="s">
        <v>354</v>
      </c>
      <c r="G200" s="56">
        <v>5117746.9994000001</v>
      </c>
    </row>
    <row r="201" spans="3:7" ht="21">
      <c r="D201" s="78" t="s">
        <v>358</v>
      </c>
      <c r="F201" s="79" t="s">
        <v>359</v>
      </c>
      <c r="G201" s="56">
        <v>643904.32149999996</v>
      </c>
    </row>
    <row r="202" spans="3:7">
      <c r="E202" s="78" t="s">
        <v>261</v>
      </c>
      <c r="F202" s="79" t="s">
        <v>325</v>
      </c>
      <c r="G202" s="56">
        <v>643904.32154000003</v>
      </c>
    </row>
    <row r="203" spans="3:7" ht="31.5">
      <c r="D203" s="78" t="s">
        <v>291</v>
      </c>
      <c r="F203" s="79" t="s">
        <v>360</v>
      </c>
      <c r="G203" s="56">
        <v>29975880.311799999</v>
      </c>
    </row>
    <row r="204" spans="3:7">
      <c r="E204" s="78" t="s">
        <v>261</v>
      </c>
      <c r="F204" s="79" t="s">
        <v>325</v>
      </c>
      <c r="G204" s="56">
        <v>28966700.811930001</v>
      </c>
    </row>
    <row r="205" spans="3:7">
      <c r="E205" s="78" t="s">
        <v>326</v>
      </c>
      <c r="F205" s="79" t="s">
        <v>327</v>
      </c>
      <c r="G205" s="56">
        <v>1009179.49985</v>
      </c>
    </row>
    <row r="206" spans="3:7" ht="21">
      <c r="D206" s="78" t="s">
        <v>2483</v>
      </c>
      <c r="F206" s="79" t="s">
        <v>2484</v>
      </c>
      <c r="G206" s="56">
        <v>0</v>
      </c>
    </row>
    <row r="207" spans="3:7" ht="21">
      <c r="D207" s="78" t="s">
        <v>361</v>
      </c>
      <c r="F207" s="79" t="s">
        <v>362</v>
      </c>
      <c r="G207" s="56">
        <v>2463555.9934</v>
      </c>
    </row>
    <row r="208" spans="3:7">
      <c r="E208" s="78" t="s">
        <v>261</v>
      </c>
      <c r="F208" s="79" t="s">
        <v>325</v>
      </c>
      <c r="G208" s="56">
        <v>1231757.9983099999</v>
      </c>
    </row>
    <row r="209" spans="2:7">
      <c r="E209" s="78" t="s">
        <v>326</v>
      </c>
      <c r="F209" s="79" t="s">
        <v>327</v>
      </c>
      <c r="G209" s="56">
        <v>1231797.99504</v>
      </c>
    </row>
    <row r="210" spans="2:7">
      <c r="B210" s="78" t="s">
        <v>363</v>
      </c>
      <c r="F210" s="79" t="s">
        <v>364</v>
      </c>
      <c r="G210" s="56">
        <v>28962809.7478</v>
      </c>
    </row>
    <row r="211" spans="2:7">
      <c r="C211" s="78" t="s">
        <v>322</v>
      </c>
      <c r="F211" s="870" t="s">
        <v>323</v>
      </c>
      <c r="G211" s="56">
        <v>18539101.781399999</v>
      </c>
    </row>
    <row r="212" spans="2:7" ht="31.5">
      <c r="D212" s="78" t="s">
        <v>261</v>
      </c>
      <c r="F212" s="79" t="s">
        <v>365</v>
      </c>
      <c r="G212" s="56">
        <v>17861879.595100001</v>
      </c>
    </row>
    <row r="213" spans="2:7">
      <c r="E213" s="78" t="s">
        <v>261</v>
      </c>
      <c r="F213" s="79" t="s">
        <v>2485</v>
      </c>
      <c r="G213" s="56">
        <v>3002961.7441199999</v>
      </c>
    </row>
    <row r="214" spans="2:7">
      <c r="E214" s="78" t="s">
        <v>326</v>
      </c>
      <c r="F214" s="79" t="s">
        <v>2486</v>
      </c>
      <c r="G214" s="56">
        <v>14858917.85101</v>
      </c>
    </row>
    <row r="215" spans="2:7">
      <c r="D215" s="78" t="s">
        <v>366</v>
      </c>
      <c r="F215" s="79" t="s">
        <v>367</v>
      </c>
      <c r="G215" s="56">
        <v>677222.1862</v>
      </c>
    </row>
    <row r="216" spans="2:7">
      <c r="E216" s="78" t="s">
        <v>261</v>
      </c>
      <c r="F216" s="79" t="s">
        <v>325</v>
      </c>
      <c r="G216" s="56">
        <v>112698.1366</v>
      </c>
    </row>
    <row r="217" spans="2:7">
      <c r="E217" s="78" t="s">
        <v>326</v>
      </c>
      <c r="F217" s="79" t="s">
        <v>327</v>
      </c>
      <c r="G217" s="56">
        <v>564524.04969999997</v>
      </c>
    </row>
    <row r="218" spans="2:7">
      <c r="C218" s="78" t="s">
        <v>328</v>
      </c>
      <c r="F218" s="871" t="s">
        <v>329</v>
      </c>
      <c r="G218" s="56">
        <v>10423707.966399999</v>
      </c>
    </row>
    <row r="219" spans="2:7" ht="21">
      <c r="D219" s="78" t="s">
        <v>261</v>
      </c>
      <c r="F219" s="79" t="s">
        <v>368</v>
      </c>
      <c r="G219" s="56">
        <v>10311512.2806</v>
      </c>
    </row>
    <row r="220" spans="2:7">
      <c r="E220" s="78" t="s">
        <v>326</v>
      </c>
      <c r="F220" s="79" t="s">
        <v>327</v>
      </c>
      <c r="G220" s="56">
        <v>10311512.2806</v>
      </c>
    </row>
    <row r="221" spans="2:7">
      <c r="D221" s="78" t="s">
        <v>366</v>
      </c>
      <c r="F221" s="79" t="s">
        <v>369</v>
      </c>
      <c r="G221" s="56">
        <v>112195.68580000001</v>
      </c>
    </row>
    <row r="222" spans="2:7">
      <c r="E222" s="78" t="s">
        <v>261</v>
      </c>
      <c r="F222" s="79" t="s">
        <v>325</v>
      </c>
      <c r="G222" s="56">
        <v>16872.999500000002</v>
      </c>
    </row>
    <row r="223" spans="2:7">
      <c r="E223" s="78" t="s">
        <v>326</v>
      </c>
      <c r="F223" s="79" t="s">
        <v>327</v>
      </c>
      <c r="G223" s="56">
        <v>95322.686300000001</v>
      </c>
    </row>
    <row r="224" spans="2:7">
      <c r="B224" s="78" t="s">
        <v>287</v>
      </c>
      <c r="F224" s="79" t="s">
        <v>288</v>
      </c>
      <c r="G224" s="56">
        <v>93934149.196099997</v>
      </c>
    </row>
    <row r="225" spans="3:7" ht="21">
      <c r="C225" s="78" t="s">
        <v>370</v>
      </c>
      <c r="F225" s="79" t="s">
        <v>371</v>
      </c>
      <c r="G225" s="56">
        <v>3114.3788</v>
      </c>
    </row>
    <row r="226" spans="3:7" ht="21">
      <c r="D226" s="78" t="s">
        <v>372</v>
      </c>
      <c r="F226" s="79" t="s">
        <v>373</v>
      </c>
      <c r="G226" s="56">
        <v>3114.3788</v>
      </c>
    </row>
    <row r="227" spans="3:7">
      <c r="E227" s="78" t="s">
        <v>326</v>
      </c>
      <c r="F227" s="79" t="s">
        <v>327</v>
      </c>
      <c r="G227" s="56">
        <v>3114.3788</v>
      </c>
    </row>
    <row r="228" spans="3:7">
      <c r="C228" s="78" t="s">
        <v>245</v>
      </c>
      <c r="F228" s="79" t="s">
        <v>0</v>
      </c>
      <c r="G228" s="56">
        <v>5532220.6164999995</v>
      </c>
    </row>
    <row r="229" spans="3:7" ht="31.5">
      <c r="D229" s="78" t="s">
        <v>289</v>
      </c>
      <c r="F229" s="79" t="s">
        <v>2487</v>
      </c>
      <c r="G229" s="56">
        <v>5532220.6164999995</v>
      </c>
    </row>
    <row r="230" spans="3:7">
      <c r="C230" s="78" t="s">
        <v>251</v>
      </c>
      <c r="F230" s="79" t="s">
        <v>252</v>
      </c>
      <c r="G230" s="56">
        <v>42116802.264300004</v>
      </c>
    </row>
    <row r="231" spans="3:7">
      <c r="D231" s="78" t="s">
        <v>297</v>
      </c>
      <c r="F231" s="79" t="s">
        <v>93</v>
      </c>
      <c r="G231" s="56">
        <v>494869</v>
      </c>
    </row>
    <row r="232" spans="3:7">
      <c r="D232" s="78" t="s">
        <v>303</v>
      </c>
      <c r="F232" s="79" t="s">
        <v>304</v>
      </c>
      <c r="G232" s="56">
        <v>13483446.9702</v>
      </c>
    </row>
    <row r="233" spans="3:7">
      <c r="E233" s="78" t="s">
        <v>285</v>
      </c>
      <c r="F233" s="79" t="s">
        <v>305</v>
      </c>
      <c r="G233" s="56">
        <v>10291279.9</v>
      </c>
    </row>
    <row r="234" spans="3:7">
      <c r="E234" s="78" t="s">
        <v>299</v>
      </c>
      <c r="F234" s="79" t="s">
        <v>306</v>
      </c>
      <c r="G234" s="56">
        <v>3192167.0702</v>
      </c>
    </row>
    <row r="235" spans="3:7">
      <c r="D235" s="78" t="s">
        <v>313</v>
      </c>
      <c r="F235" s="79" t="s">
        <v>314</v>
      </c>
      <c r="G235" s="56">
        <v>27999364</v>
      </c>
    </row>
    <row r="236" spans="3:7" ht="21">
      <c r="D236" s="78" t="s">
        <v>1504</v>
      </c>
      <c r="F236" s="79" t="s">
        <v>2488</v>
      </c>
      <c r="G236" s="56">
        <v>139122.2941</v>
      </c>
    </row>
    <row r="237" spans="3:7">
      <c r="C237" s="78" t="s">
        <v>322</v>
      </c>
      <c r="F237" s="870" t="s">
        <v>323</v>
      </c>
      <c r="G237" s="56">
        <v>30764162.192400001</v>
      </c>
    </row>
    <row r="238" spans="3:7" ht="21">
      <c r="D238" s="78" t="s">
        <v>374</v>
      </c>
      <c r="F238" s="79" t="s">
        <v>375</v>
      </c>
      <c r="G238" s="56">
        <v>1949984.5382000001</v>
      </c>
    </row>
    <row r="239" spans="3:7">
      <c r="E239" s="78" t="s">
        <v>261</v>
      </c>
      <c r="F239" s="79" t="s">
        <v>325</v>
      </c>
      <c r="G239" s="56">
        <v>260901.065</v>
      </c>
    </row>
    <row r="240" spans="3:7">
      <c r="E240" s="78" t="s">
        <v>326</v>
      </c>
      <c r="F240" s="79" t="s">
        <v>327</v>
      </c>
      <c r="G240" s="56">
        <v>1689083.4734</v>
      </c>
    </row>
    <row r="241" spans="4:7" ht="21">
      <c r="D241" s="78" t="s">
        <v>241</v>
      </c>
      <c r="F241" s="79" t="s">
        <v>376</v>
      </c>
      <c r="G241" s="56">
        <v>5408007.2253</v>
      </c>
    </row>
    <row r="242" spans="4:7">
      <c r="E242" s="78" t="s">
        <v>261</v>
      </c>
      <c r="F242" s="79" t="s">
        <v>325</v>
      </c>
      <c r="G242" s="56">
        <v>2920265.9907</v>
      </c>
    </row>
    <row r="243" spans="4:7">
      <c r="E243" s="78" t="s">
        <v>326</v>
      </c>
      <c r="F243" s="79" t="s">
        <v>327</v>
      </c>
      <c r="G243" s="56">
        <v>2487741.2346000001</v>
      </c>
    </row>
    <row r="244" spans="4:7">
      <c r="D244" s="78" t="s">
        <v>297</v>
      </c>
      <c r="F244" s="79" t="s">
        <v>377</v>
      </c>
      <c r="G244" s="56">
        <v>970045.7683</v>
      </c>
    </row>
    <row r="245" spans="4:7">
      <c r="E245" s="78" t="s">
        <v>261</v>
      </c>
      <c r="F245" s="79" t="s">
        <v>325</v>
      </c>
      <c r="G245" s="56">
        <v>157043.04319999999</v>
      </c>
    </row>
    <row r="246" spans="4:7">
      <c r="E246" s="78" t="s">
        <v>326</v>
      </c>
      <c r="F246" s="79" t="s">
        <v>327</v>
      </c>
      <c r="G246" s="56">
        <v>813002.72510000004</v>
      </c>
    </row>
    <row r="247" spans="4:7" ht="21">
      <c r="D247" s="78" t="s">
        <v>299</v>
      </c>
      <c r="F247" s="79" t="s">
        <v>378</v>
      </c>
      <c r="G247" s="56">
        <v>414824.70059999998</v>
      </c>
    </row>
    <row r="248" spans="4:7">
      <c r="E248" s="78" t="s">
        <v>326</v>
      </c>
      <c r="F248" s="79" t="s">
        <v>327</v>
      </c>
      <c r="G248" s="56">
        <v>414824.70059999998</v>
      </c>
    </row>
    <row r="249" spans="4:7">
      <c r="D249" s="78" t="s">
        <v>279</v>
      </c>
      <c r="F249" s="79" t="s">
        <v>379</v>
      </c>
      <c r="G249" s="56">
        <v>797197.89</v>
      </c>
    </row>
    <row r="250" spans="4:7">
      <c r="E250" s="78" t="s">
        <v>261</v>
      </c>
      <c r="F250" s="79" t="s">
        <v>325</v>
      </c>
      <c r="G250" s="56">
        <v>12447</v>
      </c>
    </row>
    <row r="251" spans="4:7">
      <c r="E251" s="78" t="s">
        <v>326</v>
      </c>
      <c r="F251" s="79" t="s">
        <v>327</v>
      </c>
      <c r="G251" s="56">
        <v>784750.88997999998</v>
      </c>
    </row>
    <row r="252" spans="4:7" ht="21">
      <c r="D252" s="78" t="s">
        <v>311</v>
      </c>
      <c r="F252" s="79" t="s">
        <v>380</v>
      </c>
      <c r="G252" s="56">
        <v>137818</v>
      </c>
    </row>
    <row r="253" spans="4:7">
      <c r="E253" s="78" t="s">
        <v>326</v>
      </c>
      <c r="F253" s="79" t="s">
        <v>327</v>
      </c>
      <c r="G253" s="56">
        <v>137818</v>
      </c>
    </row>
    <row r="254" spans="4:7">
      <c r="D254" s="78" t="s">
        <v>381</v>
      </c>
      <c r="F254" s="79" t="s">
        <v>382</v>
      </c>
      <c r="G254" s="56">
        <v>168970.073</v>
      </c>
    </row>
    <row r="255" spans="4:7">
      <c r="E255" s="78" t="s">
        <v>261</v>
      </c>
      <c r="F255" s="79" t="s">
        <v>325</v>
      </c>
      <c r="G255" s="56">
        <v>70936</v>
      </c>
    </row>
    <row r="256" spans="4:7">
      <c r="E256" s="78" t="s">
        <v>326</v>
      </c>
      <c r="F256" s="79" t="s">
        <v>327</v>
      </c>
      <c r="G256" s="56">
        <v>98034.073000000004</v>
      </c>
    </row>
    <row r="257" spans="3:7">
      <c r="D257" s="78" t="s">
        <v>383</v>
      </c>
      <c r="F257" s="79" t="s">
        <v>384</v>
      </c>
      <c r="G257" s="56">
        <v>19093.442899999998</v>
      </c>
    </row>
    <row r="258" spans="3:7">
      <c r="E258" s="78" t="s">
        <v>326</v>
      </c>
      <c r="F258" s="79" t="s">
        <v>327</v>
      </c>
      <c r="G258" s="56">
        <v>19093.442899999998</v>
      </c>
    </row>
    <row r="259" spans="3:7">
      <c r="D259" s="78" t="s">
        <v>385</v>
      </c>
      <c r="F259" s="79" t="s">
        <v>1488</v>
      </c>
      <c r="G259" s="56">
        <v>20613892.976599999</v>
      </c>
    </row>
    <row r="260" spans="3:7">
      <c r="E260" s="78" t="s">
        <v>261</v>
      </c>
      <c r="F260" s="79" t="s">
        <v>325</v>
      </c>
      <c r="G260" s="56">
        <v>3286442.1124999998</v>
      </c>
    </row>
    <row r="261" spans="3:7">
      <c r="E261" s="78" t="s">
        <v>326</v>
      </c>
      <c r="F261" s="79" t="s">
        <v>327</v>
      </c>
      <c r="G261" s="56">
        <v>17327450.864</v>
      </c>
    </row>
    <row r="262" spans="3:7" ht="21">
      <c r="D262" s="78" t="s">
        <v>386</v>
      </c>
      <c r="F262" s="79" t="s">
        <v>387</v>
      </c>
      <c r="G262" s="56">
        <v>30000</v>
      </c>
    </row>
    <row r="263" spans="3:7" ht="31.5">
      <c r="D263" s="78" t="s">
        <v>388</v>
      </c>
      <c r="F263" s="79" t="s">
        <v>389</v>
      </c>
      <c r="G263" s="56">
        <v>47539.19</v>
      </c>
    </row>
    <row r="264" spans="3:7" ht="52.5">
      <c r="D264" s="78" t="s">
        <v>392</v>
      </c>
      <c r="F264" s="79" t="s">
        <v>2489</v>
      </c>
      <c r="G264" s="56">
        <v>177774.26430000001</v>
      </c>
    </row>
    <row r="265" spans="3:7" ht="21">
      <c r="D265" s="78" t="s">
        <v>2490</v>
      </c>
      <c r="F265" s="79" t="s">
        <v>2491</v>
      </c>
      <c r="G265" s="56">
        <v>29014.123100000001</v>
      </c>
    </row>
    <row r="266" spans="3:7">
      <c r="C266" s="78" t="s">
        <v>396</v>
      </c>
      <c r="F266" s="79" t="s">
        <v>397</v>
      </c>
      <c r="G266" s="56">
        <v>2200529.7144999998</v>
      </c>
    </row>
    <row r="267" spans="3:7" ht="31.5">
      <c r="D267" s="78" t="s">
        <v>398</v>
      </c>
      <c r="F267" s="79" t="s">
        <v>1489</v>
      </c>
      <c r="G267" s="56">
        <v>2200529.7144999998</v>
      </c>
    </row>
    <row r="268" spans="3:7">
      <c r="E268" s="78" t="s">
        <v>261</v>
      </c>
      <c r="F268" s="79" t="s">
        <v>325</v>
      </c>
      <c r="G268" s="56">
        <v>1057517.9905300001</v>
      </c>
    </row>
    <row r="269" spans="3:7">
      <c r="E269" s="78" t="s">
        <v>326</v>
      </c>
      <c r="F269" s="79" t="s">
        <v>327</v>
      </c>
      <c r="G269" s="56">
        <v>1143011.7239999999</v>
      </c>
    </row>
    <row r="270" spans="3:7" ht="21">
      <c r="C270" s="78" t="s">
        <v>399</v>
      </c>
      <c r="F270" s="79" t="s">
        <v>4</v>
      </c>
      <c r="G270" s="56">
        <v>237471.2205</v>
      </c>
    </row>
    <row r="271" spans="3:7" ht="31.5">
      <c r="D271" s="78" t="s">
        <v>398</v>
      </c>
      <c r="F271" s="79" t="s">
        <v>1489</v>
      </c>
      <c r="G271" s="56">
        <v>237471.2205</v>
      </c>
    </row>
    <row r="272" spans="3:7">
      <c r="E272" s="78" t="s">
        <v>261</v>
      </c>
      <c r="F272" s="79" t="s">
        <v>325</v>
      </c>
      <c r="G272" s="56">
        <v>183122.81052999999</v>
      </c>
    </row>
    <row r="273" spans="3:7">
      <c r="E273" s="78" t="s">
        <v>326</v>
      </c>
      <c r="F273" s="79" t="s">
        <v>327</v>
      </c>
      <c r="G273" s="56">
        <v>54348.41</v>
      </c>
    </row>
    <row r="274" spans="3:7">
      <c r="C274" s="78" t="s">
        <v>400</v>
      </c>
      <c r="F274" s="79" t="s">
        <v>5</v>
      </c>
      <c r="G274" s="56">
        <v>1024270.7309</v>
      </c>
    </row>
    <row r="275" spans="3:7" ht="31.5">
      <c r="D275" s="78" t="s">
        <v>398</v>
      </c>
      <c r="F275" s="79" t="s">
        <v>1489</v>
      </c>
      <c r="G275" s="56">
        <v>1024270.7309</v>
      </c>
    </row>
    <row r="276" spans="3:7">
      <c r="E276" s="78" t="s">
        <v>261</v>
      </c>
      <c r="F276" s="79" t="s">
        <v>325</v>
      </c>
      <c r="G276" s="56">
        <v>51448.921499999997</v>
      </c>
    </row>
    <row r="277" spans="3:7">
      <c r="E277" s="78" t="s">
        <v>326</v>
      </c>
      <c r="F277" s="79" t="s">
        <v>327</v>
      </c>
      <c r="G277" s="56">
        <v>114692.8805</v>
      </c>
    </row>
    <row r="278" spans="3:7">
      <c r="E278" s="78" t="s">
        <v>2492</v>
      </c>
      <c r="F278" s="79" t="s">
        <v>2493</v>
      </c>
      <c r="G278" s="56">
        <v>858128.92894000001</v>
      </c>
    </row>
    <row r="279" spans="3:7">
      <c r="C279" s="78" t="s">
        <v>328</v>
      </c>
      <c r="F279" s="871" t="s">
        <v>329</v>
      </c>
      <c r="G279" s="56">
        <v>12055578.078199999</v>
      </c>
    </row>
    <row r="280" spans="3:7" ht="21">
      <c r="D280" s="78" t="s">
        <v>374</v>
      </c>
      <c r="F280" s="79" t="s">
        <v>375</v>
      </c>
      <c r="G280" s="56">
        <v>266641.14250000002</v>
      </c>
    </row>
    <row r="281" spans="3:7">
      <c r="E281" s="78" t="s">
        <v>261</v>
      </c>
      <c r="F281" s="79" t="s">
        <v>325</v>
      </c>
      <c r="G281" s="56">
        <v>27114.0553</v>
      </c>
    </row>
    <row r="282" spans="3:7">
      <c r="E282" s="78" t="s">
        <v>326</v>
      </c>
      <c r="F282" s="79" t="s">
        <v>327</v>
      </c>
      <c r="G282" s="56">
        <v>239527.0871</v>
      </c>
    </row>
    <row r="283" spans="3:7" ht="21">
      <c r="D283" s="78" t="s">
        <v>241</v>
      </c>
      <c r="F283" s="79" t="s">
        <v>376</v>
      </c>
      <c r="G283" s="56">
        <v>461652.6091</v>
      </c>
    </row>
    <row r="284" spans="3:7">
      <c r="E284" s="78" t="s">
        <v>261</v>
      </c>
      <c r="F284" s="79" t="s">
        <v>325</v>
      </c>
      <c r="G284" s="56">
        <v>132031.30910000001</v>
      </c>
    </row>
    <row r="285" spans="3:7">
      <c r="E285" s="78" t="s">
        <v>326</v>
      </c>
      <c r="F285" s="79" t="s">
        <v>327</v>
      </c>
      <c r="G285" s="56">
        <v>329621.3</v>
      </c>
    </row>
    <row r="286" spans="3:7">
      <c r="D286" s="78" t="s">
        <v>297</v>
      </c>
      <c r="F286" s="79" t="s">
        <v>377</v>
      </c>
      <c r="G286" s="56">
        <v>619403.72759999998</v>
      </c>
    </row>
    <row r="287" spans="3:7">
      <c r="E287" s="78" t="s">
        <v>261</v>
      </c>
      <c r="F287" s="79" t="s">
        <v>325</v>
      </c>
      <c r="G287" s="56">
        <v>41240</v>
      </c>
    </row>
    <row r="288" spans="3:7">
      <c r="E288" s="78" t="s">
        <v>326</v>
      </c>
      <c r="F288" s="79" t="s">
        <v>327</v>
      </c>
      <c r="G288" s="56">
        <v>578163.72760999994</v>
      </c>
    </row>
    <row r="289" spans="4:7" ht="21">
      <c r="D289" s="78" t="s">
        <v>299</v>
      </c>
      <c r="F289" s="79" t="s">
        <v>378</v>
      </c>
      <c r="G289" s="56">
        <v>6742.8469999999998</v>
      </c>
    </row>
    <row r="290" spans="4:7">
      <c r="D290" s="78" t="s">
        <v>279</v>
      </c>
      <c r="F290" s="79" t="s">
        <v>379</v>
      </c>
      <c r="G290" s="56">
        <v>177488.99979999999</v>
      </c>
    </row>
    <row r="291" spans="4:7">
      <c r="E291" s="78" t="s">
        <v>326</v>
      </c>
      <c r="F291" s="79" t="s">
        <v>327</v>
      </c>
      <c r="G291" s="56">
        <v>177488.99984</v>
      </c>
    </row>
    <row r="292" spans="4:7">
      <c r="D292" s="78" t="s">
        <v>381</v>
      </c>
      <c r="F292" s="79" t="s">
        <v>382</v>
      </c>
      <c r="G292" s="56">
        <v>688441</v>
      </c>
    </row>
    <row r="293" spans="4:7">
      <c r="E293" s="78" t="s">
        <v>261</v>
      </c>
      <c r="F293" s="79" t="s">
        <v>325</v>
      </c>
      <c r="G293" s="56">
        <v>19261</v>
      </c>
    </row>
    <row r="294" spans="4:7">
      <c r="E294" s="78" t="s">
        <v>326</v>
      </c>
      <c r="F294" s="79" t="s">
        <v>327</v>
      </c>
      <c r="G294" s="56">
        <v>669180</v>
      </c>
    </row>
    <row r="295" spans="4:7">
      <c r="D295" s="78" t="s">
        <v>383</v>
      </c>
      <c r="F295" s="79" t="s">
        <v>401</v>
      </c>
      <c r="G295" s="56">
        <v>891.99</v>
      </c>
    </row>
    <row r="296" spans="4:7">
      <c r="D296" s="78" t="s">
        <v>385</v>
      </c>
      <c r="F296" s="79" t="s">
        <v>402</v>
      </c>
      <c r="G296" s="56">
        <v>9733147.5620000008</v>
      </c>
    </row>
    <row r="297" spans="4:7">
      <c r="E297" s="78" t="s">
        <v>261</v>
      </c>
      <c r="F297" s="79" t="s">
        <v>325</v>
      </c>
      <c r="G297" s="56">
        <v>53097</v>
      </c>
    </row>
    <row r="298" spans="4:7">
      <c r="E298" s="78" t="s">
        <v>326</v>
      </c>
      <c r="F298" s="79" t="s">
        <v>327</v>
      </c>
      <c r="G298" s="56">
        <v>9680050.5620000008</v>
      </c>
    </row>
    <row r="299" spans="4:7" ht="52.5">
      <c r="D299" s="78" t="s">
        <v>392</v>
      </c>
      <c r="F299" s="79" t="s">
        <v>2489</v>
      </c>
      <c r="G299" s="56">
        <v>51051</v>
      </c>
    </row>
    <row r="300" spans="4:7" ht="21">
      <c r="D300" s="78" t="s">
        <v>394</v>
      </c>
      <c r="F300" s="79" t="s">
        <v>395</v>
      </c>
      <c r="G300" s="56">
        <v>43711.792200000004</v>
      </c>
    </row>
    <row r="301" spans="4:7" ht="21">
      <c r="D301" s="78" t="s">
        <v>2490</v>
      </c>
      <c r="F301" s="79" t="s">
        <v>2491</v>
      </c>
      <c r="G301" s="56">
        <v>6405.4080000000004</v>
      </c>
    </row>
    <row r="302" spans="4:7">
      <c r="F302" s="79"/>
      <c r="G302" s="56"/>
    </row>
    <row r="303" spans="4:7">
      <c r="F303" s="79"/>
      <c r="G303" s="56"/>
    </row>
    <row r="304" spans="4:7">
      <c r="F304" s="79"/>
      <c r="G304" s="56"/>
    </row>
    <row r="305" spans="1:7" hidden="1">
      <c r="F305" s="79"/>
      <c r="G305" s="56"/>
    </row>
    <row r="306" spans="1:7" hidden="1">
      <c r="F306" s="79"/>
      <c r="G306" s="56"/>
    </row>
    <row r="307" spans="1:7" hidden="1">
      <c r="A307" s="76" t="s">
        <v>511</v>
      </c>
      <c r="B307" s="76"/>
      <c r="C307" s="76"/>
      <c r="D307" s="76"/>
      <c r="E307" s="76"/>
      <c r="F307" s="54" t="s">
        <v>512</v>
      </c>
      <c r="G307" s="55">
        <v>1977314769.5051999</v>
      </c>
    </row>
    <row r="308" spans="1:7" hidden="1">
      <c r="B308" s="78" t="s">
        <v>238</v>
      </c>
      <c r="F308" s="79" t="s">
        <v>513</v>
      </c>
      <c r="G308" s="56">
        <v>1878105525.0946</v>
      </c>
    </row>
    <row r="309" spans="1:7" hidden="1">
      <c r="C309" s="78" t="s">
        <v>251</v>
      </c>
      <c r="F309" s="79" t="s">
        <v>252</v>
      </c>
      <c r="G309" s="56">
        <v>1817851337.062</v>
      </c>
    </row>
    <row r="310" spans="1:7" ht="21" hidden="1">
      <c r="D310" s="78" t="s">
        <v>346</v>
      </c>
      <c r="F310" s="79" t="s">
        <v>2494</v>
      </c>
      <c r="G310" s="56">
        <v>1817851337.062</v>
      </c>
    </row>
    <row r="311" spans="1:7" hidden="1">
      <c r="E311" s="78" t="s">
        <v>257</v>
      </c>
      <c r="F311" s="79" t="s">
        <v>2495</v>
      </c>
      <c r="G311" s="56">
        <v>1042919397</v>
      </c>
    </row>
    <row r="312" spans="1:7" hidden="1">
      <c r="E312" s="78" t="s">
        <v>259</v>
      </c>
      <c r="F312" s="79" t="s">
        <v>2496</v>
      </c>
      <c r="G312" s="56">
        <v>294657404</v>
      </c>
    </row>
    <row r="313" spans="1:7" ht="31.5" hidden="1">
      <c r="E313" s="78" t="s">
        <v>267</v>
      </c>
      <c r="F313" s="79" t="s">
        <v>2497</v>
      </c>
      <c r="G313" s="56">
        <v>11615001</v>
      </c>
    </row>
    <row r="314" spans="1:7" hidden="1">
      <c r="E314" s="78" t="s">
        <v>269</v>
      </c>
      <c r="F314" s="79" t="s">
        <v>2498</v>
      </c>
      <c r="G314" s="56">
        <v>183390735</v>
      </c>
    </row>
    <row r="315" spans="1:7" hidden="1">
      <c r="E315" s="78" t="s">
        <v>271</v>
      </c>
      <c r="F315" s="79" t="s">
        <v>2499</v>
      </c>
      <c r="G315" s="56">
        <v>55332748</v>
      </c>
    </row>
    <row r="316" spans="1:7" hidden="1">
      <c r="E316" s="78" t="s">
        <v>388</v>
      </c>
      <c r="F316" s="79" t="s">
        <v>2500</v>
      </c>
      <c r="G316" s="56">
        <v>549188</v>
      </c>
    </row>
    <row r="317" spans="1:7" hidden="1">
      <c r="E317" s="78" t="s">
        <v>390</v>
      </c>
      <c r="F317" s="79" t="s">
        <v>2501</v>
      </c>
      <c r="G317" s="56">
        <v>3745081</v>
      </c>
    </row>
    <row r="318" spans="1:7" hidden="1">
      <c r="E318" s="78" t="s">
        <v>392</v>
      </c>
      <c r="F318" s="79" t="s">
        <v>2502</v>
      </c>
      <c r="G318" s="56">
        <v>5607500</v>
      </c>
    </row>
    <row r="319" spans="1:7" ht="31.5" hidden="1">
      <c r="E319" s="78" t="s">
        <v>2174</v>
      </c>
      <c r="F319" s="79" t="s">
        <v>2503</v>
      </c>
      <c r="G319" s="56">
        <v>4204337</v>
      </c>
    </row>
    <row r="320" spans="1:7" ht="21" hidden="1">
      <c r="E320" s="78" t="s">
        <v>246</v>
      </c>
      <c r="F320" s="79" t="s">
        <v>2504</v>
      </c>
      <c r="G320" s="56">
        <v>567833.48899999994</v>
      </c>
    </row>
    <row r="321" spans="5:7" hidden="1">
      <c r="E321" s="78" t="s">
        <v>2505</v>
      </c>
      <c r="F321" s="79" t="s">
        <v>2506</v>
      </c>
      <c r="G321" s="56">
        <v>391837</v>
      </c>
    </row>
    <row r="322" spans="5:7" hidden="1">
      <c r="E322" s="78" t="s">
        <v>394</v>
      </c>
      <c r="F322" s="79" t="s">
        <v>2507</v>
      </c>
      <c r="G322" s="56">
        <v>993020</v>
      </c>
    </row>
    <row r="323" spans="5:7" hidden="1">
      <c r="E323" s="78" t="s">
        <v>2508</v>
      </c>
      <c r="F323" s="79" t="s">
        <v>2509</v>
      </c>
      <c r="G323" s="56">
        <v>3466653</v>
      </c>
    </row>
    <row r="324" spans="5:7" hidden="1">
      <c r="E324" s="78" t="s">
        <v>2510</v>
      </c>
      <c r="F324" s="79" t="s">
        <v>2511</v>
      </c>
      <c r="G324" s="56">
        <v>3734142</v>
      </c>
    </row>
    <row r="325" spans="5:7" hidden="1">
      <c r="E325" s="78" t="s">
        <v>2512</v>
      </c>
      <c r="F325" s="79" t="s">
        <v>2513</v>
      </c>
      <c r="G325" s="56">
        <v>11277</v>
      </c>
    </row>
    <row r="326" spans="5:7" hidden="1">
      <c r="E326" s="78" t="s">
        <v>2490</v>
      </c>
      <c r="F326" s="79" t="s">
        <v>2514</v>
      </c>
      <c r="G326" s="56">
        <v>527841</v>
      </c>
    </row>
    <row r="327" spans="5:7" ht="31.5" hidden="1">
      <c r="E327" s="78" t="s">
        <v>2515</v>
      </c>
      <c r="F327" s="79" t="s">
        <v>2516</v>
      </c>
      <c r="G327" s="56">
        <v>46791</v>
      </c>
    </row>
    <row r="328" spans="5:7" ht="31.5" hidden="1">
      <c r="E328" s="78" t="s">
        <v>2517</v>
      </c>
      <c r="F328" s="79" t="s">
        <v>2518</v>
      </c>
      <c r="G328" s="56">
        <v>2111337</v>
      </c>
    </row>
    <row r="329" spans="5:7" ht="21" hidden="1">
      <c r="E329" s="78" t="s">
        <v>2519</v>
      </c>
      <c r="F329" s="79" t="s">
        <v>2520</v>
      </c>
      <c r="G329" s="56">
        <v>8252026</v>
      </c>
    </row>
    <row r="330" spans="5:7" ht="42" hidden="1">
      <c r="E330" s="78" t="s">
        <v>370</v>
      </c>
      <c r="F330" s="79" t="s">
        <v>2521</v>
      </c>
      <c r="G330" s="56">
        <v>53098</v>
      </c>
    </row>
    <row r="331" spans="5:7" hidden="1">
      <c r="E331" s="78" t="s">
        <v>2522</v>
      </c>
      <c r="F331" s="79" t="s">
        <v>2523</v>
      </c>
      <c r="G331" s="56">
        <v>11381306</v>
      </c>
    </row>
    <row r="332" spans="5:7" hidden="1">
      <c r="E332" s="78" t="s">
        <v>2524</v>
      </c>
      <c r="F332" s="79" t="s">
        <v>2525</v>
      </c>
      <c r="G332" s="56">
        <v>3499431</v>
      </c>
    </row>
    <row r="333" spans="5:7" hidden="1">
      <c r="E333" s="78" t="s">
        <v>2526</v>
      </c>
      <c r="F333" s="79" t="s">
        <v>2527</v>
      </c>
      <c r="G333" s="56">
        <v>1678145</v>
      </c>
    </row>
    <row r="334" spans="5:7" ht="31.5" hidden="1">
      <c r="E334" s="78" t="s">
        <v>273</v>
      </c>
      <c r="F334" s="79" t="s">
        <v>2528</v>
      </c>
      <c r="G334" s="56">
        <v>39473956</v>
      </c>
    </row>
    <row r="335" spans="5:7" ht="21" hidden="1">
      <c r="E335" s="78" t="s">
        <v>2529</v>
      </c>
      <c r="F335" s="79" t="s">
        <v>2530</v>
      </c>
      <c r="G335" s="56">
        <v>26971929</v>
      </c>
    </row>
    <row r="336" spans="5:7" ht="21" hidden="1">
      <c r="E336" s="78" t="s">
        <v>316</v>
      </c>
      <c r="F336" s="79" t="s">
        <v>2531</v>
      </c>
      <c r="G336" s="56">
        <v>965393</v>
      </c>
    </row>
    <row r="337" spans="3:7" ht="21" hidden="1">
      <c r="E337" s="78" t="s">
        <v>2532</v>
      </c>
      <c r="F337" s="79" t="s">
        <v>2533</v>
      </c>
      <c r="G337" s="56">
        <v>9329</v>
      </c>
    </row>
    <row r="338" spans="3:7" ht="31.5" hidden="1">
      <c r="E338" s="78" t="s">
        <v>2534</v>
      </c>
      <c r="F338" s="79" t="s">
        <v>2535</v>
      </c>
      <c r="G338" s="56">
        <v>103947.986</v>
      </c>
    </row>
    <row r="339" spans="3:7" ht="21" hidden="1">
      <c r="E339" s="78" t="s">
        <v>2536</v>
      </c>
      <c r="F339" s="79" t="s">
        <v>2537</v>
      </c>
      <c r="G339" s="56">
        <v>1620.5160000000001</v>
      </c>
    </row>
    <row r="340" spans="3:7" hidden="1">
      <c r="E340" s="78" t="s">
        <v>2538</v>
      </c>
      <c r="F340" s="79" t="s">
        <v>2539</v>
      </c>
      <c r="G340" s="56">
        <v>32692635</v>
      </c>
    </row>
    <row r="341" spans="3:7" hidden="1">
      <c r="E341" s="78" t="s">
        <v>2540</v>
      </c>
      <c r="F341" s="79" t="s">
        <v>2541</v>
      </c>
      <c r="G341" s="56">
        <v>31108836</v>
      </c>
    </row>
    <row r="342" spans="3:7" hidden="1">
      <c r="E342" s="78" t="s">
        <v>2542</v>
      </c>
      <c r="F342" s="79" t="s">
        <v>2543</v>
      </c>
      <c r="G342" s="56">
        <v>21716748</v>
      </c>
    </row>
    <row r="343" spans="3:7" hidden="1">
      <c r="E343" s="78" t="s">
        <v>2544</v>
      </c>
      <c r="F343" s="79" t="s">
        <v>2545</v>
      </c>
      <c r="G343" s="56">
        <v>26070814.070999999</v>
      </c>
    </row>
    <row r="344" spans="3:7" hidden="1">
      <c r="C344" s="78" t="s">
        <v>514</v>
      </c>
      <c r="F344" s="79" t="s">
        <v>515</v>
      </c>
      <c r="G344" s="56">
        <v>26862959.4804</v>
      </c>
    </row>
    <row r="345" spans="3:7" ht="31.5" hidden="1">
      <c r="D345" s="78" t="s">
        <v>372</v>
      </c>
      <c r="F345" s="79" t="s">
        <v>2546</v>
      </c>
      <c r="G345" s="56">
        <v>7517956.6572000002</v>
      </c>
    </row>
    <row r="346" spans="3:7" hidden="1">
      <c r="E346" s="78" t="s">
        <v>261</v>
      </c>
      <c r="F346" s="79" t="s">
        <v>325</v>
      </c>
      <c r="G346" s="56">
        <v>1069587.9615</v>
      </c>
    </row>
    <row r="347" spans="3:7" hidden="1">
      <c r="E347" s="78" t="s">
        <v>326</v>
      </c>
      <c r="F347" s="79" t="s">
        <v>327</v>
      </c>
      <c r="G347" s="56">
        <v>6448368.6960000005</v>
      </c>
    </row>
    <row r="348" spans="3:7" ht="42" hidden="1">
      <c r="D348" s="78" t="s">
        <v>295</v>
      </c>
      <c r="F348" s="79" t="s">
        <v>2547</v>
      </c>
      <c r="G348" s="56">
        <v>684994.9105</v>
      </c>
    </row>
    <row r="349" spans="3:7" hidden="1">
      <c r="E349" s="78" t="s">
        <v>261</v>
      </c>
      <c r="F349" s="79" t="s">
        <v>325</v>
      </c>
      <c r="G349" s="56">
        <v>119847.4041</v>
      </c>
    </row>
    <row r="350" spans="3:7" hidden="1">
      <c r="E350" s="78" t="s">
        <v>326</v>
      </c>
      <c r="F350" s="79" t="s">
        <v>327</v>
      </c>
      <c r="G350" s="56">
        <v>565147.50630000001</v>
      </c>
    </row>
    <row r="351" spans="3:7" ht="42" hidden="1">
      <c r="D351" s="78" t="s">
        <v>297</v>
      </c>
      <c r="F351" s="79" t="s">
        <v>2548</v>
      </c>
      <c r="G351" s="56">
        <v>12251894.000800001</v>
      </c>
    </row>
    <row r="352" spans="3:7" hidden="1">
      <c r="E352" s="78" t="s">
        <v>261</v>
      </c>
      <c r="F352" s="79" t="s">
        <v>325</v>
      </c>
      <c r="G352" s="56">
        <v>2206061.0852000001</v>
      </c>
    </row>
    <row r="353" spans="3:7" hidden="1">
      <c r="E353" s="78" t="s">
        <v>326</v>
      </c>
      <c r="F353" s="79" t="s">
        <v>327</v>
      </c>
      <c r="G353" s="56">
        <v>10045832.9155</v>
      </c>
    </row>
    <row r="354" spans="3:7" ht="21" hidden="1">
      <c r="D354" s="78" t="s">
        <v>289</v>
      </c>
      <c r="F354" s="79" t="s">
        <v>516</v>
      </c>
      <c r="G354" s="56">
        <v>2287240.1992000001</v>
      </c>
    </row>
    <row r="355" spans="3:7" hidden="1">
      <c r="E355" s="78" t="s">
        <v>261</v>
      </c>
      <c r="F355" s="79" t="s">
        <v>325</v>
      </c>
      <c r="G355" s="56">
        <v>322613.49050000001</v>
      </c>
    </row>
    <row r="356" spans="3:7" hidden="1">
      <c r="E356" s="78" t="s">
        <v>326</v>
      </c>
      <c r="F356" s="79" t="s">
        <v>327</v>
      </c>
      <c r="G356" s="56">
        <v>1964626.7087999999</v>
      </c>
    </row>
    <row r="357" spans="3:7" ht="42" hidden="1">
      <c r="D357" s="78" t="s">
        <v>326</v>
      </c>
      <c r="F357" s="79" t="s">
        <v>2549</v>
      </c>
      <c r="G357" s="56">
        <v>4120873.7127</v>
      </c>
    </row>
    <row r="358" spans="3:7" hidden="1">
      <c r="E358" s="78" t="s">
        <v>261</v>
      </c>
      <c r="F358" s="79" t="s">
        <v>325</v>
      </c>
      <c r="G358" s="56">
        <v>686710.59329999995</v>
      </c>
    </row>
    <row r="359" spans="3:7" hidden="1">
      <c r="E359" s="78" t="s">
        <v>326</v>
      </c>
      <c r="F359" s="79" t="s">
        <v>327</v>
      </c>
      <c r="G359" s="56">
        <v>3434163.1194000002</v>
      </c>
    </row>
    <row r="360" spans="3:7" hidden="1">
      <c r="C360" s="78" t="s">
        <v>517</v>
      </c>
      <c r="F360" s="79" t="s">
        <v>518</v>
      </c>
      <c r="G360" s="56">
        <v>10297866.4264</v>
      </c>
    </row>
    <row r="361" spans="3:7" hidden="1">
      <c r="D361" s="78" t="s">
        <v>326</v>
      </c>
      <c r="F361" s="79" t="s">
        <v>519</v>
      </c>
      <c r="G361" s="56">
        <v>9327746.9680000003</v>
      </c>
    </row>
    <row r="362" spans="3:7" hidden="1">
      <c r="E362" s="78" t="s">
        <v>261</v>
      </c>
      <c r="F362" s="79" t="s">
        <v>325</v>
      </c>
      <c r="G362" s="56">
        <v>1448555.8539</v>
      </c>
    </row>
    <row r="363" spans="3:7" hidden="1">
      <c r="E363" s="78" t="s">
        <v>257</v>
      </c>
      <c r="F363" s="79" t="s">
        <v>520</v>
      </c>
      <c r="G363" s="56">
        <v>6067476.3942999998</v>
      </c>
    </row>
    <row r="364" spans="3:7" ht="21" hidden="1">
      <c r="E364" s="78" t="s">
        <v>259</v>
      </c>
      <c r="F364" s="79" t="s">
        <v>521</v>
      </c>
      <c r="G364" s="56">
        <v>273957.71139999997</v>
      </c>
    </row>
    <row r="365" spans="3:7" hidden="1">
      <c r="E365" s="78" t="s">
        <v>265</v>
      </c>
      <c r="F365" s="79" t="s">
        <v>522</v>
      </c>
      <c r="G365" s="56">
        <v>321817.14539999998</v>
      </c>
    </row>
    <row r="366" spans="3:7" hidden="1">
      <c r="E366" s="78" t="s">
        <v>267</v>
      </c>
      <c r="F366" s="79" t="s">
        <v>523</v>
      </c>
      <c r="G366" s="56">
        <v>1215939.8629999999</v>
      </c>
    </row>
    <row r="367" spans="3:7" hidden="1">
      <c r="D367" s="78" t="s">
        <v>386</v>
      </c>
      <c r="F367" s="79" t="s">
        <v>525</v>
      </c>
      <c r="G367" s="56">
        <v>970119.4584</v>
      </c>
    </row>
    <row r="368" spans="3:7" hidden="1">
      <c r="E368" s="78" t="s">
        <v>261</v>
      </c>
      <c r="F368" s="79" t="s">
        <v>325</v>
      </c>
      <c r="G368" s="56">
        <v>177895.3518</v>
      </c>
    </row>
    <row r="369" spans="3:7" hidden="1">
      <c r="E369" s="78" t="s">
        <v>326</v>
      </c>
      <c r="F369" s="79" t="s">
        <v>327</v>
      </c>
      <c r="G369" s="56">
        <v>792224.10649999999</v>
      </c>
    </row>
    <row r="370" spans="3:7" hidden="1">
      <c r="C370" s="78" t="s">
        <v>396</v>
      </c>
      <c r="F370" s="79" t="s">
        <v>397</v>
      </c>
      <c r="G370" s="56">
        <v>1006150.6416</v>
      </c>
    </row>
    <row r="371" spans="3:7" hidden="1">
      <c r="D371" s="78" t="s">
        <v>291</v>
      </c>
      <c r="F371" s="79" t="s">
        <v>526</v>
      </c>
      <c r="G371" s="56">
        <v>1006150.6416</v>
      </c>
    </row>
    <row r="372" spans="3:7" hidden="1">
      <c r="E372" s="78" t="s">
        <v>326</v>
      </c>
      <c r="F372" s="79" t="s">
        <v>327</v>
      </c>
      <c r="G372" s="56">
        <v>1006150.6416</v>
      </c>
    </row>
    <row r="373" spans="3:7" ht="21" hidden="1">
      <c r="C373" s="78" t="s">
        <v>399</v>
      </c>
      <c r="F373" s="79" t="s">
        <v>4</v>
      </c>
      <c r="G373" s="56">
        <v>0</v>
      </c>
    </row>
    <row r="374" spans="3:7" hidden="1">
      <c r="D374" s="78" t="s">
        <v>289</v>
      </c>
      <c r="F374" s="79" t="s">
        <v>526</v>
      </c>
      <c r="G374" s="56">
        <v>0</v>
      </c>
    </row>
    <row r="375" spans="3:7" hidden="1">
      <c r="C375" s="78" t="s">
        <v>400</v>
      </c>
      <c r="F375" s="79" t="s">
        <v>5</v>
      </c>
      <c r="G375" s="56">
        <v>37618.180500000002</v>
      </c>
    </row>
    <row r="376" spans="3:7" hidden="1">
      <c r="D376" s="78" t="s">
        <v>291</v>
      </c>
      <c r="F376" s="79" t="s">
        <v>526</v>
      </c>
      <c r="G376" s="56">
        <v>37618.180500000002</v>
      </c>
    </row>
    <row r="377" spans="3:7" hidden="1">
      <c r="E377" s="78" t="s">
        <v>326</v>
      </c>
      <c r="F377" s="79" t="s">
        <v>327</v>
      </c>
      <c r="G377" s="56">
        <v>37618.180460000003</v>
      </c>
    </row>
    <row r="378" spans="3:7" ht="21" hidden="1">
      <c r="C378" s="78" t="s">
        <v>527</v>
      </c>
      <c r="F378" s="79" t="s">
        <v>528</v>
      </c>
      <c r="G378" s="56">
        <v>2290685.9906000001</v>
      </c>
    </row>
    <row r="379" spans="3:7" ht="31.5" hidden="1">
      <c r="D379" s="78" t="s">
        <v>372</v>
      </c>
      <c r="F379" s="79" t="s">
        <v>2546</v>
      </c>
      <c r="G379" s="56">
        <v>537008.28460000001</v>
      </c>
    </row>
    <row r="380" spans="3:7" hidden="1">
      <c r="E380" s="78" t="s">
        <v>261</v>
      </c>
      <c r="F380" s="79" t="s">
        <v>325</v>
      </c>
      <c r="G380" s="56">
        <v>69594.668999999994</v>
      </c>
    </row>
    <row r="381" spans="3:7" hidden="1">
      <c r="E381" s="78" t="s">
        <v>326</v>
      </c>
      <c r="F381" s="79" t="s">
        <v>327</v>
      </c>
      <c r="G381" s="56">
        <v>467413.61560000002</v>
      </c>
    </row>
    <row r="382" spans="3:7" hidden="1">
      <c r="D382" s="78" t="s">
        <v>332</v>
      </c>
      <c r="F382" s="79" t="s">
        <v>543</v>
      </c>
      <c r="G382" s="56">
        <v>15875.844999999999</v>
      </c>
    </row>
    <row r="383" spans="3:7" hidden="1">
      <c r="E383" s="78" t="s">
        <v>326</v>
      </c>
      <c r="F383" s="79" t="s">
        <v>327</v>
      </c>
      <c r="G383" s="56">
        <v>15875.844999999999</v>
      </c>
    </row>
    <row r="384" spans="3:7" hidden="1">
      <c r="D384" s="78" t="s">
        <v>295</v>
      </c>
      <c r="F384" s="79" t="s">
        <v>547</v>
      </c>
      <c r="G384" s="56">
        <v>29585</v>
      </c>
    </row>
    <row r="385" spans="3:7" ht="42" hidden="1">
      <c r="D385" s="78" t="s">
        <v>303</v>
      </c>
      <c r="F385" s="79" t="s">
        <v>2548</v>
      </c>
      <c r="G385" s="56">
        <v>982659.99950000003</v>
      </c>
    </row>
    <row r="386" spans="3:7" hidden="1">
      <c r="E386" s="78" t="s">
        <v>261</v>
      </c>
      <c r="F386" s="79" t="s">
        <v>325</v>
      </c>
      <c r="G386" s="56">
        <v>71119</v>
      </c>
    </row>
    <row r="387" spans="3:7" hidden="1">
      <c r="E387" s="78" t="s">
        <v>326</v>
      </c>
      <c r="F387" s="79" t="s">
        <v>327</v>
      </c>
      <c r="G387" s="56">
        <v>911540.99950000003</v>
      </c>
    </row>
    <row r="388" spans="3:7" ht="21" hidden="1">
      <c r="D388" s="78" t="s">
        <v>307</v>
      </c>
      <c r="F388" s="79" t="s">
        <v>516</v>
      </c>
      <c r="G388" s="56">
        <v>280337.2402</v>
      </c>
    </row>
    <row r="389" spans="3:7" hidden="1">
      <c r="E389" s="78" t="s">
        <v>261</v>
      </c>
      <c r="F389" s="79" t="s">
        <v>325</v>
      </c>
      <c r="G389" s="56">
        <v>78156.545299999998</v>
      </c>
    </row>
    <row r="390" spans="3:7" hidden="1">
      <c r="E390" s="78" t="s">
        <v>326</v>
      </c>
      <c r="F390" s="79" t="s">
        <v>327</v>
      </c>
      <c r="G390" s="56">
        <v>202180.6949</v>
      </c>
    </row>
    <row r="391" spans="3:7" ht="42" hidden="1">
      <c r="D391" s="78" t="s">
        <v>309</v>
      </c>
      <c r="F391" s="79" t="s">
        <v>2549</v>
      </c>
      <c r="G391" s="56">
        <v>430611.72529999999</v>
      </c>
    </row>
    <row r="392" spans="3:7" hidden="1">
      <c r="E392" s="78" t="s">
        <v>261</v>
      </c>
      <c r="F392" s="79" t="s">
        <v>325</v>
      </c>
      <c r="G392" s="56">
        <v>59514.874799999998</v>
      </c>
    </row>
    <row r="393" spans="3:7" hidden="1">
      <c r="E393" s="78" t="s">
        <v>326</v>
      </c>
      <c r="F393" s="79" t="s">
        <v>327</v>
      </c>
      <c r="G393" s="56">
        <v>371096.85060000001</v>
      </c>
    </row>
    <row r="394" spans="3:7" hidden="1">
      <c r="D394" s="78" t="s">
        <v>2550</v>
      </c>
      <c r="F394" s="79" t="s">
        <v>580</v>
      </c>
      <c r="G394" s="56">
        <v>14607.896000000001</v>
      </c>
    </row>
    <row r="395" spans="3:7" hidden="1">
      <c r="E395" s="78" t="s">
        <v>261</v>
      </c>
      <c r="F395" s="79" t="s">
        <v>325</v>
      </c>
      <c r="G395" s="56">
        <v>10201.847</v>
      </c>
    </row>
    <row r="396" spans="3:7" hidden="1">
      <c r="E396" s="78" t="s">
        <v>326</v>
      </c>
      <c r="F396" s="79" t="s">
        <v>327</v>
      </c>
      <c r="G396" s="56">
        <v>4406.049</v>
      </c>
    </row>
    <row r="397" spans="3:7" hidden="1">
      <c r="C397" s="78" t="s">
        <v>529</v>
      </c>
      <c r="F397" s="79" t="s">
        <v>530</v>
      </c>
      <c r="G397" s="56">
        <v>1746686.8424</v>
      </c>
    </row>
    <row r="398" spans="3:7" hidden="1">
      <c r="D398" s="78" t="s">
        <v>299</v>
      </c>
      <c r="F398" s="79" t="s">
        <v>519</v>
      </c>
      <c r="G398" s="56">
        <v>1618516.8424</v>
      </c>
    </row>
    <row r="399" spans="3:7" hidden="1">
      <c r="E399" s="78" t="s">
        <v>261</v>
      </c>
      <c r="F399" s="79" t="s">
        <v>325</v>
      </c>
      <c r="G399" s="56">
        <v>200058</v>
      </c>
    </row>
    <row r="400" spans="3:7" hidden="1">
      <c r="E400" s="78" t="s">
        <v>257</v>
      </c>
      <c r="F400" s="79" t="s">
        <v>520</v>
      </c>
      <c r="G400" s="56">
        <v>1015686.8194</v>
      </c>
    </row>
    <row r="401" spans="3:7" ht="21" hidden="1">
      <c r="E401" s="78" t="s">
        <v>259</v>
      </c>
      <c r="F401" s="79" t="s">
        <v>521</v>
      </c>
      <c r="G401" s="56">
        <v>118745</v>
      </c>
    </row>
    <row r="402" spans="3:7" hidden="1">
      <c r="E402" s="78" t="s">
        <v>265</v>
      </c>
      <c r="F402" s="79" t="s">
        <v>522</v>
      </c>
      <c r="G402" s="56">
        <v>24793</v>
      </c>
    </row>
    <row r="403" spans="3:7" hidden="1">
      <c r="E403" s="78" t="s">
        <v>267</v>
      </c>
      <c r="F403" s="79" t="s">
        <v>523</v>
      </c>
      <c r="G403" s="56">
        <v>131621</v>
      </c>
    </row>
    <row r="404" spans="3:7" hidden="1">
      <c r="E404" s="78" t="s">
        <v>269</v>
      </c>
      <c r="F404" s="79" t="s">
        <v>524</v>
      </c>
      <c r="G404" s="56">
        <v>127613.023</v>
      </c>
    </row>
    <row r="405" spans="3:7" hidden="1">
      <c r="D405" s="78" t="s">
        <v>386</v>
      </c>
      <c r="F405" s="79" t="s">
        <v>525</v>
      </c>
      <c r="G405" s="56">
        <v>128170</v>
      </c>
    </row>
    <row r="406" spans="3:7" hidden="1">
      <c r="E406" s="78" t="s">
        <v>261</v>
      </c>
      <c r="F406" s="79" t="s">
        <v>325</v>
      </c>
      <c r="G406" s="56">
        <v>21131</v>
      </c>
    </row>
    <row r="407" spans="3:7" hidden="1">
      <c r="E407" s="78" t="s">
        <v>326</v>
      </c>
      <c r="F407" s="79" t="s">
        <v>327</v>
      </c>
      <c r="G407" s="56">
        <v>107039</v>
      </c>
    </row>
    <row r="408" spans="3:7" hidden="1">
      <c r="C408" s="78" t="s">
        <v>403</v>
      </c>
      <c r="F408" s="79" t="s">
        <v>404</v>
      </c>
      <c r="G408" s="56">
        <v>750999.93</v>
      </c>
    </row>
    <row r="409" spans="3:7" hidden="1">
      <c r="D409" s="78" t="s">
        <v>291</v>
      </c>
      <c r="F409" s="79" t="s">
        <v>526</v>
      </c>
      <c r="G409" s="56">
        <v>750999.93</v>
      </c>
    </row>
    <row r="410" spans="3:7" hidden="1">
      <c r="E410" s="78" t="s">
        <v>326</v>
      </c>
      <c r="F410" s="79" t="s">
        <v>327</v>
      </c>
      <c r="G410" s="56">
        <v>750999.93</v>
      </c>
    </row>
    <row r="411" spans="3:7" ht="21" hidden="1">
      <c r="C411" s="78" t="s">
        <v>1490</v>
      </c>
      <c r="F411" s="79" t="s">
        <v>1491</v>
      </c>
      <c r="G411" s="56">
        <v>2045354.5983</v>
      </c>
    </row>
    <row r="412" spans="3:7" ht="31.5" hidden="1">
      <c r="D412" s="78" t="s">
        <v>372</v>
      </c>
      <c r="F412" s="79" t="s">
        <v>2546</v>
      </c>
      <c r="G412" s="56">
        <v>490189.89490000001</v>
      </c>
    </row>
    <row r="413" spans="3:7" hidden="1">
      <c r="E413" s="78" t="s">
        <v>261</v>
      </c>
      <c r="F413" s="79" t="s">
        <v>325</v>
      </c>
      <c r="G413" s="56">
        <v>49561.381099999999</v>
      </c>
    </row>
    <row r="414" spans="3:7" hidden="1">
      <c r="E414" s="78" t="s">
        <v>326</v>
      </c>
      <c r="F414" s="79" t="s">
        <v>327</v>
      </c>
      <c r="G414" s="56">
        <v>440628.51380000002</v>
      </c>
    </row>
    <row r="415" spans="3:7" hidden="1">
      <c r="D415" s="78" t="s">
        <v>285</v>
      </c>
      <c r="F415" s="79" t="s">
        <v>543</v>
      </c>
      <c r="G415" s="56">
        <v>26283.945</v>
      </c>
    </row>
    <row r="416" spans="3:7" hidden="1">
      <c r="E416" s="78" t="s">
        <v>326</v>
      </c>
      <c r="F416" s="79" t="s">
        <v>327</v>
      </c>
      <c r="G416" s="56">
        <v>26283.945</v>
      </c>
    </row>
    <row r="417" spans="3:7" hidden="1">
      <c r="D417" s="78" t="s">
        <v>295</v>
      </c>
      <c r="F417" s="79" t="s">
        <v>547</v>
      </c>
      <c r="G417" s="56">
        <v>48329.578000000001</v>
      </c>
    </row>
    <row r="418" spans="3:7" ht="42" hidden="1">
      <c r="D418" s="78" t="s">
        <v>303</v>
      </c>
      <c r="F418" s="79" t="s">
        <v>2548</v>
      </c>
      <c r="G418" s="56">
        <v>549987.20389999996</v>
      </c>
    </row>
    <row r="419" spans="3:7" hidden="1">
      <c r="E419" s="78" t="s">
        <v>261</v>
      </c>
      <c r="F419" s="79" t="s">
        <v>325</v>
      </c>
      <c r="G419" s="56">
        <v>50592</v>
      </c>
    </row>
    <row r="420" spans="3:7" hidden="1">
      <c r="E420" s="78" t="s">
        <v>326</v>
      </c>
      <c r="F420" s="79" t="s">
        <v>327</v>
      </c>
      <c r="G420" s="56">
        <v>499395.20380000002</v>
      </c>
    </row>
    <row r="421" spans="3:7" ht="42" hidden="1">
      <c r="D421" s="78" t="s">
        <v>309</v>
      </c>
      <c r="F421" s="79" t="s">
        <v>2549</v>
      </c>
      <c r="G421" s="56">
        <v>920537.36179999996</v>
      </c>
    </row>
    <row r="422" spans="3:7" hidden="1">
      <c r="E422" s="78" t="s">
        <v>261</v>
      </c>
      <c r="F422" s="79" t="s">
        <v>325</v>
      </c>
      <c r="G422" s="56">
        <v>380407.837</v>
      </c>
    </row>
    <row r="423" spans="3:7" hidden="1">
      <c r="E423" s="78" t="s">
        <v>326</v>
      </c>
      <c r="F423" s="79" t="s">
        <v>327</v>
      </c>
      <c r="G423" s="56">
        <v>540129.52480000001</v>
      </c>
    </row>
    <row r="424" spans="3:7" hidden="1">
      <c r="D424" s="78" t="s">
        <v>2550</v>
      </c>
      <c r="F424" s="79" t="s">
        <v>580</v>
      </c>
      <c r="G424" s="56">
        <v>10026.6147</v>
      </c>
    </row>
    <row r="425" spans="3:7" hidden="1">
      <c r="E425" s="78" t="s">
        <v>261</v>
      </c>
      <c r="F425" s="79" t="s">
        <v>325</v>
      </c>
      <c r="G425" s="56">
        <v>6762.1867000000002</v>
      </c>
    </row>
    <row r="426" spans="3:7" hidden="1">
      <c r="E426" s="78" t="s">
        <v>326</v>
      </c>
      <c r="F426" s="79" t="s">
        <v>327</v>
      </c>
      <c r="G426" s="56">
        <v>3264.4279999999999</v>
      </c>
    </row>
    <row r="427" spans="3:7" hidden="1">
      <c r="C427" s="78" t="s">
        <v>552</v>
      </c>
      <c r="F427" s="79" t="s">
        <v>553</v>
      </c>
      <c r="G427" s="56">
        <v>12737281.411</v>
      </c>
    </row>
    <row r="428" spans="3:7" hidden="1">
      <c r="D428" s="78" t="s">
        <v>318</v>
      </c>
      <c r="F428" s="79" t="s">
        <v>543</v>
      </c>
      <c r="G428" s="56">
        <v>638300.06059999997</v>
      </c>
    </row>
    <row r="429" spans="3:7" hidden="1">
      <c r="E429" s="78" t="s">
        <v>261</v>
      </c>
      <c r="F429" s="79" t="s">
        <v>325</v>
      </c>
      <c r="G429" s="56">
        <v>12812.083000000001</v>
      </c>
    </row>
    <row r="430" spans="3:7" hidden="1">
      <c r="E430" s="78" t="s">
        <v>326</v>
      </c>
      <c r="F430" s="79" t="s">
        <v>327</v>
      </c>
      <c r="G430" s="56">
        <v>625487.97764000006</v>
      </c>
    </row>
    <row r="431" spans="3:7" hidden="1">
      <c r="D431" s="78" t="s">
        <v>299</v>
      </c>
      <c r="F431" s="79" t="s">
        <v>547</v>
      </c>
      <c r="G431" s="56">
        <v>10134206.7026</v>
      </c>
    </row>
    <row r="432" spans="3:7" hidden="1">
      <c r="E432" s="78" t="s">
        <v>261</v>
      </c>
      <c r="F432" s="79" t="s">
        <v>325</v>
      </c>
      <c r="G432" s="56">
        <v>355148.435</v>
      </c>
    </row>
    <row r="433" spans="3:7" hidden="1">
      <c r="E433" s="78" t="s">
        <v>326</v>
      </c>
      <c r="F433" s="79" t="s">
        <v>327</v>
      </c>
      <c r="G433" s="56">
        <v>9779058.2675999999</v>
      </c>
    </row>
    <row r="434" spans="3:7" hidden="1">
      <c r="D434" s="78" t="s">
        <v>599</v>
      </c>
      <c r="F434" s="79" t="s">
        <v>580</v>
      </c>
      <c r="G434" s="56">
        <v>1964774.6477000001</v>
      </c>
    </row>
    <row r="435" spans="3:7" hidden="1">
      <c r="E435" s="78" t="s">
        <v>261</v>
      </c>
      <c r="F435" s="79" t="s">
        <v>325</v>
      </c>
      <c r="G435" s="56">
        <v>1278423.9982</v>
      </c>
    </row>
    <row r="436" spans="3:7" hidden="1">
      <c r="E436" s="78" t="s">
        <v>326</v>
      </c>
      <c r="F436" s="79" t="s">
        <v>327</v>
      </c>
      <c r="G436" s="56">
        <v>686350.64950000006</v>
      </c>
    </row>
    <row r="437" spans="3:7" hidden="1">
      <c r="C437" s="78" t="s">
        <v>564</v>
      </c>
      <c r="F437" s="79" t="s">
        <v>565</v>
      </c>
      <c r="G437" s="56">
        <v>1096557.2074</v>
      </c>
    </row>
    <row r="438" spans="3:7" hidden="1">
      <c r="D438" s="78" t="s">
        <v>383</v>
      </c>
      <c r="F438" s="79" t="s">
        <v>524</v>
      </c>
      <c r="G438" s="56">
        <v>1092741.4464</v>
      </c>
    </row>
    <row r="439" spans="3:7" hidden="1">
      <c r="E439" s="78" t="s">
        <v>261</v>
      </c>
      <c r="F439" s="79" t="s">
        <v>325</v>
      </c>
      <c r="G439" s="56">
        <v>128365.62940000001</v>
      </c>
    </row>
    <row r="440" spans="3:7" hidden="1">
      <c r="E440" s="78" t="s">
        <v>326</v>
      </c>
      <c r="F440" s="79" t="s">
        <v>327</v>
      </c>
      <c r="G440" s="56">
        <v>964375.81700000004</v>
      </c>
    </row>
    <row r="441" spans="3:7" ht="21" hidden="1">
      <c r="D441" s="78" t="s">
        <v>2551</v>
      </c>
      <c r="F441" s="79" t="s">
        <v>2552</v>
      </c>
      <c r="G441" s="56">
        <v>3815.761</v>
      </c>
    </row>
    <row r="442" spans="3:7" hidden="1">
      <c r="E442" s="78" t="s">
        <v>261</v>
      </c>
      <c r="F442" s="79" t="s">
        <v>325</v>
      </c>
      <c r="G442" s="56">
        <v>445.27699999999999</v>
      </c>
    </row>
    <row r="443" spans="3:7" hidden="1">
      <c r="E443" s="78" t="s">
        <v>326</v>
      </c>
      <c r="F443" s="79" t="s">
        <v>327</v>
      </c>
      <c r="G443" s="56">
        <v>3370.4839999999999</v>
      </c>
    </row>
    <row r="444" spans="3:7" ht="21" hidden="1">
      <c r="C444" s="78" t="s">
        <v>567</v>
      </c>
      <c r="F444" s="79" t="s">
        <v>568</v>
      </c>
      <c r="G444" s="56">
        <v>45278.421000000002</v>
      </c>
    </row>
    <row r="445" spans="3:7" hidden="1">
      <c r="D445" s="78" t="s">
        <v>383</v>
      </c>
      <c r="F445" s="79" t="s">
        <v>524</v>
      </c>
      <c r="G445" s="56">
        <v>45278.421000000002</v>
      </c>
    </row>
    <row r="446" spans="3:7" hidden="1">
      <c r="E446" s="78" t="s">
        <v>261</v>
      </c>
      <c r="F446" s="79" t="s">
        <v>325</v>
      </c>
      <c r="G446" s="56">
        <v>5287.0290000000005</v>
      </c>
    </row>
    <row r="447" spans="3:7" hidden="1">
      <c r="E447" s="78" t="s">
        <v>326</v>
      </c>
      <c r="F447" s="79" t="s">
        <v>327</v>
      </c>
      <c r="G447" s="56">
        <v>39991.392</v>
      </c>
    </row>
    <row r="448" spans="3:7" hidden="1">
      <c r="C448" s="78" t="s">
        <v>1492</v>
      </c>
      <c r="F448" s="79" t="s">
        <v>1493</v>
      </c>
      <c r="G448" s="56">
        <v>0</v>
      </c>
    </row>
    <row r="449" spans="2:7" hidden="1">
      <c r="D449" s="78" t="s">
        <v>326</v>
      </c>
      <c r="F449" s="79" t="s">
        <v>519</v>
      </c>
      <c r="G449" s="56">
        <v>0</v>
      </c>
    </row>
    <row r="450" spans="2:7" hidden="1">
      <c r="D450" s="78" t="s">
        <v>386</v>
      </c>
      <c r="F450" s="79" t="s">
        <v>525</v>
      </c>
      <c r="G450" s="56">
        <v>0</v>
      </c>
    </row>
    <row r="451" spans="2:7" ht="21" hidden="1">
      <c r="C451" s="78" t="s">
        <v>1496</v>
      </c>
      <c r="F451" s="79" t="s">
        <v>1497</v>
      </c>
      <c r="G451" s="56">
        <v>1336748.9029000001</v>
      </c>
    </row>
    <row r="452" spans="2:7" hidden="1">
      <c r="D452" s="78" t="s">
        <v>255</v>
      </c>
      <c r="F452" s="79" t="s">
        <v>543</v>
      </c>
      <c r="G452" s="56">
        <v>150293.29699999999</v>
      </c>
    </row>
    <row r="453" spans="2:7" hidden="1">
      <c r="E453" s="78" t="s">
        <v>261</v>
      </c>
      <c r="F453" s="79" t="s">
        <v>325</v>
      </c>
      <c r="G453" s="56">
        <v>400</v>
      </c>
    </row>
    <row r="454" spans="2:7" hidden="1">
      <c r="E454" s="78" t="s">
        <v>326</v>
      </c>
      <c r="F454" s="79" t="s">
        <v>327</v>
      </c>
      <c r="G454" s="56">
        <v>149893.29699999999</v>
      </c>
    </row>
    <row r="455" spans="2:7" hidden="1">
      <c r="D455" s="78" t="s">
        <v>299</v>
      </c>
      <c r="F455" s="79" t="s">
        <v>547</v>
      </c>
      <c r="G455" s="56">
        <v>1071020.3</v>
      </c>
    </row>
    <row r="456" spans="2:7" hidden="1">
      <c r="E456" s="78" t="s">
        <v>261</v>
      </c>
      <c r="F456" s="79" t="s">
        <v>325</v>
      </c>
      <c r="G456" s="56">
        <v>34457</v>
      </c>
    </row>
    <row r="457" spans="2:7" hidden="1">
      <c r="E457" s="78" t="s">
        <v>326</v>
      </c>
      <c r="F457" s="79" t="s">
        <v>327</v>
      </c>
      <c r="G457" s="56">
        <v>1036563.3</v>
      </c>
    </row>
    <row r="458" spans="2:7" hidden="1">
      <c r="D458" s="78" t="s">
        <v>599</v>
      </c>
      <c r="F458" s="79" t="s">
        <v>580</v>
      </c>
      <c r="G458" s="56">
        <v>115435.30590000001</v>
      </c>
    </row>
    <row r="459" spans="2:7" hidden="1">
      <c r="E459" s="78" t="s">
        <v>261</v>
      </c>
      <c r="F459" s="79" t="s">
        <v>325</v>
      </c>
      <c r="G459" s="56">
        <v>70670.027100000007</v>
      </c>
    </row>
    <row r="460" spans="2:7" hidden="1">
      <c r="E460" s="78" t="s">
        <v>326</v>
      </c>
      <c r="F460" s="79" t="s">
        <v>327</v>
      </c>
      <c r="G460" s="56">
        <v>44765.278899999998</v>
      </c>
    </row>
    <row r="461" spans="2:7" hidden="1">
      <c r="B461" s="78" t="s">
        <v>243</v>
      </c>
      <c r="F461" s="79" t="s">
        <v>531</v>
      </c>
      <c r="G461" s="56">
        <v>82661059.766599998</v>
      </c>
    </row>
    <row r="462" spans="2:7" ht="21" hidden="1">
      <c r="C462" s="78" t="s">
        <v>370</v>
      </c>
      <c r="F462" s="79" t="s">
        <v>371</v>
      </c>
      <c r="G462" s="56">
        <v>1350171.8585000001</v>
      </c>
    </row>
    <row r="463" spans="2:7" hidden="1">
      <c r="D463" s="78" t="s">
        <v>283</v>
      </c>
      <c r="F463" s="79" t="s">
        <v>532</v>
      </c>
      <c r="G463" s="56">
        <v>1350171.8585000001</v>
      </c>
    </row>
    <row r="464" spans="2:7" hidden="1">
      <c r="E464" s="78" t="s">
        <v>261</v>
      </c>
      <c r="F464" s="79" t="s">
        <v>325</v>
      </c>
      <c r="G464" s="56">
        <v>462448.09330000001</v>
      </c>
    </row>
    <row r="465" spans="3:7" hidden="1">
      <c r="E465" s="78" t="s">
        <v>326</v>
      </c>
      <c r="F465" s="79" t="s">
        <v>327</v>
      </c>
      <c r="G465" s="56">
        <v>887723.76509999996</v>
      </c>
    </row>
    <row r="466" spans="3:7" hidden="1">
      <c r="C466" s="78" t="s">
        <v>514</v>
      </c>
      <c r="F466" s="79" t="s">
        <v>515</v>
      </c>
      <c r="G466" s="56">
        <v>5059606.1608999996</v>
      </c>
    </row>
    <row r="467" spans="3:7" hidden="1">
      <c r="D467" s="78" t="s">
        <v>283</v>
      </c>
      <c r="F467" s="79" t="s">
        <v>533</v>
      </c>
      <c r="G467" s="56">
        <v>5059606.1608999996</v>
      </c>
    </row>
    <row r="468" spans="3:7" hidden="1">
      <c r="E468" s="78" t="s">
        <v>261</v>
      </c>
      <c r="F468" s="79" t="s">
        <v>325</v>
      </c>
      <c r="G468" s="56">
        <v>295663.76890000002</v>
      </c>
    </row>
    <row r="469" spans="3:7" hidden="1">
      <c r="E469" s="78" t="s">
        <v>259</v>
      </c>
      <c r="F469" s="79" t="s">
        <v>534</v>
      </c>
      <c r="G469" s="56">
        <v>30442.48</v>
      </c>
    </row>
    <row r="470" spans="3:7" ht="21" hidden="1">
      <c r="E470" s="78" t="s">
        <v>265</v>
      </c>
      <c r="F470" s="79" t="s">
        <v>535</v>
      </c>
      <c r="G470" s="56">
        <v>1119977.72756</v>
      </c>
    </row>
    <row r="471" spans="3:7" ht="31.5" hidden="1">
      <c r="E471" s="78" t="s">
        <v>267</v>
      </c>
      <c r="F471" s="79" t="s">
        <v>536</v>
      </c>
      <c r="G471" s="56">
        <v>1697291.3151</v>
      </c>
    </row>
    <row r="472" spans="3:7" hidden="1">
      <c r="E472" s="78" t="s">
        <v>271</v>
      </c>
      <c r="F472" s="79" t="s">
        <v>537</v>
      </c>
      <c r="G472" s="56">
        <v>411375.01270000002</v>
      </c>
    </row>
    <row r="473" spans="3:7" ht="21" hidden="1">
      <c r="E473" s="78" t="s">
        <v>388</v>
      </c>
      <c r="F473" s="79" t="s">
        <v>538</v>
      </c>
      <c r="G473" s="56">
        <v>1504855.8566000001</v>
      </c>
    </row>
    <row r="474" spans="3:7" ht="21" hidden="1">
      <c r="C474" s="78" t="s">
        <v>2553</v>
      </c>
      <c r="F474" s="79" t="s">
        <v>2554</v>
      </c>
      <c r="G474" s="56">
        <v>2709968.76</v>
      </c>
    </row>
    <row r="475" spans="3:7" ht="31.5" hidden="1">
      <c r="D475" s="78" t="s">
        <v>301</v>
      </c>
      <c r="F475" s="79" t="s">
        <v>2555</v>
      </c>
      <c r="G475" s="56">
        <v>2709968.76</v>
      </c>
    </row>
    <row r="476" spans="3:7" ht="21" hidden="1">
      <c r="C476" s="78" t="s">
        <v>527</v>
      </c>
      <c r="F476" s="79" t="s">
        <v>528</v>
      </c>
      <c r="G476" s="56">
        <v>7505716.5236999998</v>
      </c>
    </row>
    <row r="477" spans="3:7" hidden="1">
      <c r="D477" s="78" t="s">
        <v>283</v>
      </c>
      <c r="F477" s="79" t="s">
        <v>539</v>
      </c>
      <c r="G477" s="56">
        <v>597518.22660000005</v>
      </c>
    </row>
    <row r="478" spans="3:7" hidden="1">
      <c r="E478" s="78" t="s">
        <v>261</v>
      </c>
      <c r="F478" s="79" t="s">
        <v>325</v>
      </c>
      <c r="G478" s="56">
        <v>246706.74797999999</v>
      </c>
    </row>
    <row r="479" spans="3:7" hidden="1">
      <c r="E479" s="78" t="s">
        <v>2492</v>
      </c>
      <c r="F479" s="79" t="s">
        <v>2493</v>
      </c>
      <c r="G479" s="56">
        <v>35833.080999999998</v>
      </c>
    </row>
    <row r="480" spans="3:7" hidden="1">
      <c r="E480" s="78" t="s">
        <v>257</v>
      </c>
      <c r="F480" s="79" t="s">
        <v>540</v>
      </c>
      <c r="G480" s="56">
        <v>120677</v>
      </c>
    </row>
    <row r="481" spans="4:7" hidden="1">
      <c r="E481" s="78" t="s">
        <v>259</v>
      </c>
      <c r="F481" s="79" t="s">
        <v>541</v>
      </c>
      <c r="G481" s="56">
        <v>21450.414400000001</v>
      </c>
    </row>
    <row r="482" spans="4:7" hidden="1">
      <c r="E482" s="78" t="s">
        <v>265</v>
      </c>
      <c r="F482" s="79" t="s">
        <v>542</v>
      </c>
      <c r="G482" s="56">
        <v>172850.98319999999</v>
      </c>
    </row>
    <row r="483" spans="4:7" hidden="1">
      <c r="D483" s="78" t="s">
        <v>334</v>
      </c>
      <c r="F483" s="79" t="s">
        <v>544</v>
      </c>
      <c r="G483" s="56">
        <v>45743.107000000004</v>
      </c>
    </row>
    <row r="484" spans="4:7" ht="21" hidden="1">
      <c r="D484" s="78" t="s">
        <v>241</v>
      </c>
      <c r="F484" s="79" t="s">
        <v>545</v>
      </c>
      <c r="G484" s="56">
        <v>4443539.3596999999</v>
      </c>
    </row>
    <row r="485" spans="4:7" hidden="1">
      <c r="D485" s="78" t="s">
        <v>253</v>
      </c>
      <c r="F485" s="79" t="s">
        <v>533</v>
      </c>
      <c r="G485" s="56">
        <v>679792.34620000003</v>
      </c>
    </row>
    <row r="486" spans="4:7" hidden="1">
      <c r="E486" s="78" t="s">
        <v>259</v>
      </c>
      <c r="F486" s="79" t="s">
        <v>534</v>
      </c>
      <c r="G486" s="56">
        <v>130024.6737</v>
      </c>
    </row>
    <row r="487" spans="4:7" ht="21" hidden="1">
      <c r="E487" s="78" t="s">
        <v>265</v>
      </c>
      <c r="F487" s="79" t="s">
        <v>535</v>
      </c>
      <c r="G487" s="56">
        <v>324506.27356</v>
      </c>
    </row>
    <row r="488" spans="4:7" ht="31.5" hidden="1">
      <c r="E488" s="78" t="s">
        <v>267</v>
      </c>
      <c r="F488" s="79" t="s">
        <v>536</v>
      </c>
      <c r="G488" s="56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  </c>
    </row>
    <row r="490" spans="4:7" ht="21" hidden="1">
      <c r="E490" s="78" t="s">
        <v>388</v>
      </c>
      <c r="F490" s="79" t="s">
        <v>538</v>
      </c>
      <c r="G490" s="56">
        <v>68088.029599999994</v>
      </c>
    </row>
    <row r="491" spans="4:7" ht="52.5" hidden="1">
      <c r="D491" s="78" t="s">
        <v>326</v>
      </c>
      <c r="F491" s="79" t="s">
        <v>548</v>
      </c>
      <c r="G491" s="56">
        <v>1082458.6044999999</v>
      </c>
    </row>
    <row r="492" spans="4:7" hidden="1">
      <c r="E492" s="78" t="s">
        <v>326</v>
      </c>
      <c r="F492" s="79" t="s">
        <v>327</v>
      </c>
      <c r="G492" s="56">
        <v>1082458.6044999999</v>
      </c>
    </row>
    <row r="493" spans="4:7" hidden="1">
      <c r="D493" s="78" t="s">
        <v>299</v>
      </c>
      <c r="F493" s="79" t="s">
        <v>549</v>
      </c>
      <c r="G493" s="56">
        <v>139964.55290000001</v>
      </c>
    </row>
    <row r="494" spans="4:7" hidden="1">
      <c r="E494" s="78" t="s">
        <v>261</v>
      </c>
      <c r="F494" s="79" t="s">
        <v>325</v>
      </c>
      <c r="G494" s="56">
        <v>33626.847000000002</v>
      </c>
    </row>
    <row r="495" spans="4:7" hidden="1">
      <c r="E495" s="78" t="s">
        <v>326</v>
      </c>
      <c r="F495" s="79" t="s">
        <v>327</v>
      </c>
      <c r="G495" s="56">
        <v>106337.7059</v>
      </c>
    </row>
    <row r="496" spans="4:7" hidden="1">
      <c r="D496" s="78" t="s">
        <v>279</v>
      </c>
      <c r="F496" s="79" t="s">
        <v>532</v>
      </c>
      <c r="G496" s="56">
        <v>230994.93609999999</v>
      </c>
    </row>
    <row r="497" spans="3:7" hidden="1">
      <c r="E497" s="78" t="s">
        <v>261</v>
      </c>
      <c r="F497" s="79" t="s">
        <v>325</v>
      </c>
      <c r="G497" s="56">
        <v>85077.47</v>
      </c>
    </row>
    <row r="498" spans="3:7" hidden="1">
      <c r="E498" s="78" t="s">
        <v>326</v>
      </c>
      <c r="F498" s="79" t="s">
        <v>327</v>
      </c>
      <c r="G498" s="56">
        <v>145917.46609999999</v>
      </c>
    </row>
    <row r="499" spans="3:7" hidden="1">
      <c r="D499" s="78" t="s">
        <v>383</v>
      </c>
      <c r="F499" s="79" t="s">
        <v>550</v>
      </c>
      <c r="G499" s="56">
        <v>285705.39069999999</v>
      </c>
    </row>
    <row r="500" spans="3:7" hidden="1">
      <c r="E500" s="78" t="s">
        <v>261</v>
      </c>
      <c r="F500" s="79" t="s">
        <v>325</v>
      </c>
      <c r="G500" s="56">
        <v>285705.39059999998</v>
      </c>
    </row>
    <row r="501" spans="3:7" hidden="1">
      <c r="C501" s="78" t="s">
        <v>529</v>
      </c>
      <c r="F501" s="79" t="s">
        <v>530</v>
      </c>
      <c r="G501" s="56">
        <v>144748.32800000001</v>
      </c>
    </row>
    <row r="502" spans="3:7" ht="21" hidden="1">
      <c r="D502" s="78" t="s">
        <v>301</v>
      </c>
      <c r="F502" s="79" t="s">
        <v>551</v>
      </c>
      <c r="G502" s="56">
        <v>144748.32800000001</v>
      </c>
    </row>
    <row r="503" spans="3:7" ht="21" hidden="1">
      <c r="C503" s="78" t="s">
        <v>1490</v>
      </c>
      <c r="F503" s="79" t="s">
        <v>1491</v>
      </c>
      <c r="G503" s="56">
        <v>5379372.3317</v>
      </c>
    </row>
    <row r="504" spans="3:7" hidden="1">
      <c r="D504" s="78" t="s">
        <v>283</v>
      </c>
      <c r="F504" s="79" t="s">
        <v>539</v>
      </c>
      <c r="G504" s="56">
        <v>738765.38910000003</v>
      </c>
    </row>
    <row r="505" spans="3:7" hidden="1">
      <c r="E505" s="78" t="s">
        <v>261</v>
      </c>
      <c r="F505" s="79" t="s">
        <v>325</v>
      </c>
      <c r="G505" s="56">
        <v>168193.22414999999</v>
      </c>
    </row>
    <row r="506" spans="3:7" hidden="1">
      <c r="E506" s="78" t="s">
        <v>257</v>
      </c>
      <c r="F506" s="79" t="s">
        <v>540</v>
      </c>
      <c r="G506" s="56">
        <v>441548.88932000002</v>
      </c>
    </row>
    <row r="507" spans="3:7" hidden="1">
      <c r="E507" s="78" t="s">
        <v>259</v>
      </c>
      <c r="F507" s="79" t="s">
        <v>541</v>
      </c>
      <c r="G507" s="56">
        <v>33054.49235</v>
      </c>
    </row>
    <row r="508" spans="3:7" hidden="1">
      <c r="E508" s="78" t="s">
        <v>265</v>
      </c>
      <c r="F508" s="79" t="s">
        <v>542</v>
      </c>
      <c r="G508" s="56">
        <v>95968.783309999999</v>
      </c>
    </row>
    <row r="509" spans="3:7" hidden="1">
      <c r="D509" s="78" t="s">
        <v>334</v>
      </c>
      <c r="F509" s="79" t="s">
        <v>544</v>
      </c>
      <c r="G509" s="56">
        <v>27138.5661</v>
      </c>
    </row>
    <row r="510" spans="3:7" ht="21" hidden="1">
      <c r="D510" s="78" t="s">
        <v>241</v>
      </c>
      <c r="F510" s="79" t="s">
        <v>545</v>
      </c>
      <c r="G510" s="56">
        <v>2771501.7494000001</v>
      </c>
    </row>
    <row r="511" spans="3:7" hidden="1">
      <c r="D511" s="78" t="s">
        <v>253</v>
      </c>
      <c r="F511" s="79" t="s">
        <v>533</v>
      </c>
      <c r="G511" s="56">
        <v>625539.27</v>
      </c>
    </row>
    <row r="512" spans="3:7" hidden="1">
      <c r="E512" s="78" t="s">
        <v>259</v>
      </c>
      <c r="F512" s="79" t="s">
        <v>534</v>
      </c>
      <c r="G512" s="56">
        <v>5594</v>
      </c>
    </row>
    <row r="513" spans="4:7" ht="21" hidden="1">
      <c r="E513" s="78" t="s">
        <v>265</v>
      </c>
      <c r="F513" s="79" t="s">
        <v>535</v>
      </c>
      <c r="G513" s="56">
        <v>289827</v>
      </c>
    </row>
    <row r="514" spans="4:7" ht="31.5" hidden="1">
      <c r="E514" s="78" t="s">
        <v>267</v>
      </c>
      <c r="F514" s="79" t="s">
        <v>536</v>
      </c>
      <c r="G514" s="56">
        <v>192460.51</v>
      </c>
    </row>
    <row r="515" spans="4:7" ht="21" hidden="1">
      <c r="E515" s="78" t="s">
        <v>269</v>
      </c>
      <c r="F515" s="79" t="s">
        <v>546</v>
      </c>
      <c r="G515" s="56">
        <v>38603.025999999998</v>
      </c>
    </row>
    <row r="516" spans="4:7" ht="21" hidden="1">
      <c r="E516" s="78" t="s">
        <v>388</v>
      </c>
      <c r="F516" s="79" t="s">
        <v>538</v>
      </c>
      <c r="G516" s="56">
        <v>99054.733999999997</v>
      </c>
    </row>
    <row r="517" spans="4:7" ht="52.5" hidden="1">
      <c r="D517" s="78" t="s">
        <v>326</v>
      </c>
      <c r="F517" s="79" t="s">
        <v>1495</v>
      </c>
      <c r="G517" s="56">
        <v>734093.51269999996</v>
      </c>
    </row>
    <row r="518" spans="4:7" hidden="1">
      <c r="E518" s="78" t="s">
        <v>261</v>
      </c>
      <c r="F518" s="79" t="s">
        <v>325</v>
      </c>
      <c r="G518" s="56">
        <v>158328.24</v>
      </c>
    </row>
    <row r="519" spans="4:7" hidden="1">
      <c r="E519" s="78" t="s">
        <v>326</v>
      </c>
      <c r="F519" s="79" t="s">
        <v>327</v>
      </c>
      <c r="G519" s="56">
        <v>575765.27269999997</v>
      </c>
    </row>
    <row r="520" spans="4:7" hidden="1">
      <c r="D520" s="78" t="s">
        <v>299</v>
      </c>
      <c r="F520" s="79" t="s">
        <v>549</v>
      </c>
      <c r="G520" s="56">
        <v>144510.96960000001</v>
      </c>
    </row>
    <row r="521" spans="4:7" hidden="1">
      <c r="E521" s="78" t="s">
        <v>261</v>
      </c>
      <c r="F521" s="79" t="s">
        <v>325</v>
      </c>
      <c r="G521" s="56">
        <v>20167.103200000001</v>
      </c>
    </row>
    <row r="522" spans="4:7" hidden="1">
      <c r="E522" s="78" t="s">
        <v>326</v>
      </c>
      <c r="F522" s="79" t="s">
        <v>327</v>
      </c>
      <c r="G522" s="56">
        <v>124343.8664</v>
      </c>
    </row>
    <row r="523" spans="4:7" hidden="1">
      <c r="D523" s="78" t="s">
        <v>279</v>
      </c>
      <c r="F523" s="79" t="s">
        <v>532</v>
      </c>
      <c r="G523" s="56">
        <v>170520.69639999999</v>
      </c>
    </row>
    <row r="524" spans="4:7" hidden="1">
      <c r="E524" s="78" t="s">
        <v>261</v>
      </c>
      <c r="F524" s="79" t="s">
        <v>325</v>
      </c>
      <c r="G524" s="56">
        <v>21380</v>
      </c>
    </row>
    <row r="525" spans="4:7" hidden="1">
      <c r="E525" s="78" t="s">
        <v>326</v>
      </c>
      <c r="F525" s="79" t="s">
        <v>327</v>
      </c>
      <c r="G525" s="56">
        <v>149140.69639</v>
      </c>
    </row>
    <row r="526" spans="4:7" hidden="1">
      <c r="D526" s="78" t="s">
        <v>383</v>
      </c>
      <c r="F526" s="79" t="s">
        <v>550</v>
      </c>
      <c r="G526" s="56">
        <v>167302.1784</v>
      </c>
    </row>
    <row r="527" spans="4:7" hidden="1">
      <c r="E527" s="78" t="s">
        <v>261</v>
      </c>
      <c r="F527" s="79" t="s">
        <v>325</v>
      </c>
      <c r="G527" s="56">
        <v>143592.44750000001</v>
      </c>
    </row>
    <row r="528" spans="4:7" hidden="1">
      <c r="E528" s="78" t="s">
        <v>326</v>
      </c>
      <c r="F528" s="79" t="s">
        <v>327</v>
      </c>
      <c r="G528" s="56">
        <v>23709.730800000001</v>
      </c>
    </row>
    <row r="529" spans="3:7" hidden="1">
      <c r="C529" s="78" t="s">
        <v>552</v>
      </c>
      <c r="F529" s="79" t="s">
        <v>553</v>
      </c>
      <c r="G529" s="56">
        <v>51480223.121799998</v>
      </c>
    </row>
    <row r="530" spans="3:7" hidden="1">
      <c r="D530" s="78" t="s">
        <v>372</v>
      </c>
      <c r="F530" s="79" t="s">
        <v>539</v>
      </c>
      <c r="G530" s="56">
        <v>13858703.466</v>
      </c>
    </row>
    <row r="531" spans="3:7" hidden="1">
      <c r="E531" s="78" t="s">
        <v>261</v>
      </c>
      <c r="F531" s="79" t="s">
        <v>325</v>
      </c>
      <c r="G531" s="56">
        <v>5486093.8136</v>
      </c>
    </row>
    <row r="532" spans="3:7" hidden="1">
      <c r="E532" s="78" t="s">
        <v>2492</v>
      </c>
      <c r="F532" s="79" t="s">
        <v>2493</v>
      </c>
      <c r="G532" s="56">
        <v>820648.55099999998</v>
      </c>
    </row>
    <row r="533" spans="3:7" hidden="1">
      <c r="E533" s="78" t="s">
        <v>257</v>
      </c>
      <c r="F533" s="79" t="s">
        <v>540</v>
      </c>
      <c r="G533" s="56">
        <v>5629641.2685000002</v>
      </c>
    </row>
    <row r="534" spans="3:7" hidden="1">
      <c r="E534" s="78" t="s">
        <v>259</v>
      </c>
      <c r="F534" s="79" t="s">
        <v>541</v>
      </c>
      <c r="G534" s="56">
        <v>252732.6268</v>
      </c>
    </row>
    <row r="535" spans="3:7" hidden="1">
      <c r="E535" s="78" t="s">
        <v>265</v>
      </c>
      <c r="F535" s="79" t="s">
        <v>542</v>
      </c>
      <c r="G535" s="56">
        <v>1669587.2061000001</v>
      </c>
    </row>
    <row r="536" spans="3:7" ht="31.5" hidden="1">
      <c r="D536" s="78" t="s">
        <v>283</v>
      </c>
      <c r="F536" s="79" t="s">
        <v>554</v>
      </c>
      <c r="G536" s="56">
        <v>1635</v>
      </c>
    </row>
    <row r="537" spans="3:7" ht="42" hidden="1">
      <c r="D537" s="78" t="s">
        <v>285</v>
      </c>
      <c r="F537" s="79" t="s">
        <v>555</v>
      </c>
      <c r="G537" s="56">
        <v>1388924.9739999999</v>
      </c>
    </row>
    <row r="538" spans="3:7" hidden="1">
      <c r="E538" s="78" t="s">
        <v>261</v>
      </c>
      <c r="F538" s="79" t="s">
        <v>325</v>
      </c>
      <c r="G538" s="56">
        <v>51442.464999999997</v>
      </c>
    </row>
    <row r="539" spans="3:7" hidden="1">
      <c r="E539" s="78" t="s">
        <v>326</v>
      </c>
      <c r="F539" s="79" t="s">
        <v>327</v>
      </c>
      <c r="G539" s="56">
        <v>1337482.5090000001</v>
      </c>
    </row>
    <row r="540" spans="3:7" hidden="1">
      <c r="D540" s="78" t="s">
        <v>332</v>
      </c>
      <c r="F540" s="79" t="s">
        <v>544</v>
      </c>
      <c r="G540" s="56">
        <v>2105502.9992999998</v>
      </c>
    </row>
    <row r="541" spans="3:7" hidden="1">
      <c r="E541" s="78" t="s">
        <v>261</v>
      </c>
      <c r="F541" s="79" t="s">
        <v>325</v>
      </c>
      <c r="G541" s="56">
        <v>95527.808999999994</v>
      </c>
    </row>
    <row r="542" spans="3:7" hidden="1">
      <c r="E542" s="78" t="s">
        <v>326</v>
      </c>
      <c r="F542" s="79" t="s">
        <v>327</v>
      </c>
      <c r="G542" s="56">
        <v>2009975.1902900001</v>
      </c>
    </row>
    <row r="543" spans="3:7" ht="21" hidden="1">
      <c r="D543" s="78" t="s">
        <v>334</v>
      </c>
      <c r="F543" s="79" t="s">
        <v>545</v>
      </c>
      <c r="G543" s="56">
        <v>11800401.412599999</v>
      </c>
    </row>
    <row r="544" spans="3:7" hidden="1">
      <c r="E544" s="78" t="s">
        <v>381</v>
      </c>
      <c r="F544" s="79" t="s">
        <v>556</v>
      </c>
      <c r="G544" s="56">
        <v>1641471.8740000001</v>
      </c>
    </row>
    <row r="545" spans="4:7" hidden="1">
      <c r="E545" s="78" t="s">
        <v>366</v>
      </c>
      <c r="F545" s="79" t="s">
        <v>557</v>
      </c>
      <c r="G545" s="56">
        <v>10158929.538699999</v>
      </c>
    </row>
    <row r="546" spans="4:7" ht="31.5" hidden="1">
      <c r="D546" s="78" t="s">
        <v>253</v>
      </c>
      <c r="F546" s="79" t="s">
        <v>558</v>
      </c>
      <c r="G546" s="56">
        <v>1258.4628</v>
      </c>
    </row>
    <row r="547" spans="4:7" ht="21" hidden="1">
      <c r="D547" s="78" t="s">
        <v>255</v>
      </c>
      <c r="F547" s="79" t="s">
        <v>546</v>
      </c>
      <c r="G547" s="56">
        <v>450667.03269999998</v>
      </c>
    </row>
    <row r="548" spans="4:7" hidden="1">
      <c r="E548" s="78" t="s">
        <v>261</v>
      </c>
      <c r="F548" s="79" t="s">
        <v>325</v>
      </c>
      <c r="G548" s="56">
        <v>260.81400000000002</v>
      </c>
    </row>
    <row r="549" spans="4:7" hidden="1">
      <c r="E549" s="78" t="s">
        <v>326</v>
      </c>
      <c r="F549" s="79" t="s">
        <v>327</v>
      </c>
      <c r="G549" s="56">
        <v>442528.48066</v>
      </c>
    </row>
    <row r="550" spans="4:7" hidden="1">
      <c r="D550" s="78" t="s">
        <v>297</v>
      </c>
      <c r="F550" s="79" t="s">
        <v>549</v>
      </c>
      <c r="G550" s="56">
        <v>1315567.2908000001</v>
      </c>
    </row>
    <row r="551" spans="4:7" hidden="1">
      <c r="E551" s="78" t="s">
        <v>261</v>
      </c>
      <c r="F551" s="79" t="s">
        <v>325</v>
      </c>
      <c r="G551" s="56">
        <v>348419.80410000001</v>
      </c>
    </row>
    <row r="552" spans="4:7" hidden="1">
      <c r="E552" s="78" t="s">
        <v>326</v>
      </c>
      <c r="F552" s="79" t="s">
        <v>327</v>
      </c>
      <c r="G552" s="56">
        <v>967147.48670000001</v>
      </c>
    </row>
    <row r="553" spans="4:7" hidden="1">
      <c r="D553" s="78" t="s">
        <v>289</v>
      </c>
      <c r="F553" s="79" t="s">
        <v>532</v>
      </c>
      <c r="G553" s="56">
        <v>7735285.5926000001</v>
      </c>
    </row>
    <row r="554" spans="4:7" hidden="1">
      <c r="E554" s="78" t="s">
        <v>261</v>
      </c>
      <c r="F554" s="79" t="s">
        <v>325</v>
      </c>
      <c r="G554" s="56">
        <v>2829363.8525999999</v>
      </c>
    </row>
    <row r="555" spans="4:7" hidden="1">
      <c r="E555" s="78" t="s">
        <v>326</v>
      </c>
      <c r="F555" s="79" t="s">
        <v>327</v>
      </c>
      <c r="G555" s="56">
        <v>4905921.74</v>
      </c>
    </row>
    <row r="556" spans="4:7" hidden="1">
      <c r="D556" s="78" t="s">
        <v>326</v>
      </c>
      <c r="F556" s="79" t="s">
        <v>559</v>
      </c>
      <c r="G556" s="56">
        <v>1240420.2196</v>
      </c>
    </row>
    <row r="557" spans="4:7" hidden="1">
      <c r="E557" s="78" t="s">
        <v>261</v>
      </c>
      <c r="F557" s="79" t="s">
        <v>325</v>
      </c>
      <c r="G557" s="56">
        <v>373489.8517</v>
      </c>
    </row>
    <row r="558" spans="4:7" hidden="1">
      <c r="E558" s="78" t="s">
        <v>326</v>
      </c>
      <c r="F558" s="79" t="s">
        <v>327</v>
      </c>
      <c r="G558" s="56">
        <v>866930.36769999994</v>
      </c>
    </row>
    <row r="559" spans="4:7" ht="42" hidden="1">
      <c r="D559" s="78" t="s">
        <v>301</v>
      </c>
      <c r="F559" s="79" t="s">
        <v>560</v>
      </c>
      <c r="G559" s="56">
        <v>7412712.1057000002</v>
      </c>
    </row>
    <row r="560" spans="4:7" hidden="1">
      <c r="E560" s="78" t="s">
        <v>261</v>
      </c>
      <c r="F560" s="79" t="s">
        <v>561</v>
      </c>
      <c r="G560" s="56">
        <v>2097234.7097</v>
      </c>
    </row>
    <row r="561" spans="3:7" hidden="1">
      <c r="E561" s="78" t="s">
        <v>326</v>
      </c>
      <c r="F561" s="79" t="s">
        <v>562</v>
      </c>
      <c r="G561" s="56">
        <v>5315477.3959999997</v>
      </c>
    </row>
    <row r="562" spans="3:7" hidden="1">
      <c r="D562" s="78" t="s">
        <v>311</v>
      </c>
      <c r="F562" s="79" t="s">
        <v>563</v>
      </c>
      <c r="G562" s="56">
        <v>4169144.5658</v>
      </c>
    </row>
    <row r="563" spans="3:7" hidden="1">
      <c r="E563" s="78" t="s">
        <v>261</v>
      </c>
      <c r="F563" s="79" t="s">
        <v>325</v>
      </c>
      <c r="G563" s="56">
        <v>4053656.1505999998</v>
      </c>
    </row>
    <row r="564" spans="3:7" hidden="1">
      <c r="E564" s="78" t="s">
        <v>326</v>
      </c>
      <c r="F564" s="79" t="s">
        <v>327</v>
      </c>
      <c r="G564" s="56">
        <v>115488.41529999999</v>
      </c>
    </row>
    <row r="565" spans="3:7" hidden="1">
      <c r="C565" s="78" t="s">
        <v>564</v>
      </c>
      <c r="F565" s="79" t="s">
        <v>565</v>
      </c>
      <c r="G565" s="56">
        <v>1016276.4985</v>
      </c>
    </row>
    <row r="566" spans="3:7" ht="31.5" hidden="1">
      <c r="D566" s="78" t="s">
        <v>241</v>
      </c>
      <c r="F566" s="79" t="s">
        <v>566</v>
      </c>
      <c r="G566" s="56">
        <v>1016276.4985</v>
      </c>
    </row>
    <row r="567" spans="3:7" ht="21" hidden="1">
      <c r="C567" s="78" t="s">
        <v>1496</v>
      </c>
      <c r="F567" s="79" t="s">
        <v>1497</v>
      </c>
      <c r="G567" s="56">
        <v>8014976.1835000003</v>
      </c>
    </row>
    <row r="568" spans="3:7" hidden="1">
      <c r="D568" s="78" t="s">
        <v>285</v>
      </c>
      <c r="F568" s="79" t="s">
        <v>539</v>
      </c>
      <c r="G568" s="56">
        <v>1814892.4157</v>
      </c>
    </row>
    <row r="569" spans="3:7" hidden="1">
      <c r="E569" s="78" t="s">
        <v>261</v>
      </c>
      <c r="F569" s="79" t="s">
        <v>325</v>
      </c>
      <c r="G569" s="56">
        <v>645237.64040000003</v>
      </c>
    </row>
    <row r="570" spans="3:7" hidden="1">
      <c r="E570" s="78" t="s">
        <v>2492</v>
      </c>
      <c r="F570" s="79" t="s">
        <v>2493</v>
      </c>
      <c r="G570" s="56">
        <v>87879.897299999997</v>
      </c>
    </row>
    <row r="571" spans="3:7" hidden="1">
      <c r="E571" s="78" t="s">
        <v>257</v>
      </c>
      <c r="F571" s="79" t="s">
        <v>540</v>
      </c>
      <c r="G571" s="56">
        <v>870528.13554000005</v>
      </c>
    </row>
    <row r="572" spans="3:7" hidden="1">
      <c r="E572" s="78" t="s">
        <v>259</v>
      </c>
      <c r="F572" s="79" t="s">
        <v>541</v>
      </c>
      <c r="G572" s="56">
        <v>20739.3305</v>
      </c>
    </row>
    <row r="573" spans="3:7" hidden="1">
      <c r="E573" s="78" t="s">
        <v>265</v>
      </c>
      <c r="F573" s="79" t="s">
        <v>542</v>
      </c>
      <c r="G573" s="56">
        <v>190507.41200000001</v>
      </c>
    </row>
    <row r="574" spans="3:7" ht="31.5" hidden="1">
      <c r="D574" s="78" t="s">
        <v>318</v>
      </c>
      <c r="F574" s="79" t="s">
        <v>554</v>
      </c>
      <c r="G574" s="56">
        <v>0</v>
      </c>
    </row>
    <row r="575" spans="3:7" ht="42" hidden="1">
      <c r="D575" s="78" t="s">
        <v>332</v>
      </c>
      <c r="F575" s="79" t="s">
        <v>555</v>
      </c>
      <c r="G575" s="56">
        <v>319474.99200000003</v>
      </c>
    </row>
    <row r="576" spans="3:7" hidden="1">
      <c r="D576" s="78" t="s">
        <v>334</v>
      </c>
      <c r="F576" s="79" t="s">
        <v>544</v>
      </c>
      <c r="G576" s="56">
        <v>232780.89600000001</v>
      </c>
    </row>
    <row r="577" spans="4:7" ht="31.5" hidden="1">
      <c r="D577" s="78" t="s">
        <v>241</v>
      </c>
      <c r="F577" s="79" t="s">
        <v>558</v>
      </c>
      <c r="G577" s="56">
        <v>1474.2355</v>
      </c>
    </row>
    <row r="578" spans="4:7" ht="21" hidden="1">
      <c r="D578" s="78" t="s">
        <v>253</v>
      </c>
      <c r="F578" s="79" t="s">
        <v>546</v>
      </c>
      <c r="G578" s="56">
        <v>57915.950799999999</v>
      </c>
    </row>
    <row r="579" spans="4:7" ht="21" hidden="1">
      <c r="D579" s="78" t="s">
        <v>261</v>
      </c>
      <c r="F579" s="79" t="s">
        <v>545</v>
      </c>
      <c r="G579" s="56">
        <v>3285883.7171999998</v>
      </c>
    </row>
    <row r="580" spans="4:7" hidden="1">
      <c r="E580" s="78" t="s">
        <v>381</v>
      </c>
      <c r="F580" s="79" t="s">
        <v>556</v>
      </c>
      <c r="G580" s="56">
        <v>495914.35119999998</v>
      </c>
    </row>
    <row r="581" spans="4:7" hidden="1">
      <c r="E581" s="78" t="s">
        <v>366</v>
      </c>
      <c r="F581" s="79" t="s">
        <v>557</v>
      </c>
      <c r="G581" s="56">
        <v>2789969.3659999999</v>
      </c>
    </row>
    <row r="582" spans="4:7" hidden="1">
      <c r="D582" s="78" t="s">
        <v>297</v>
      </c>
      <c r="F582" s="79" t="s">
        <v>549</v>
      </c>
      <c r="G582" s="56">
        <v>165680.91409999999</v>
      </c>
    </row>
    <row r="583" spans="4:7" ht="21" hidden="1">
      <c r="E583" s="78" t="s">
        <v>261</v>
      </c>
      <c r="F583" s="79" t="s">
        <v>1498</v>
      </c>
      <c r="G583" s="56">
        <v>42157.838000000003</v>
      </c>
    </row>
    <row r="584" spans="4:7" hidden="1">
      <c r="E584" s="78" t="s">
        <v>326</v>
      </c>
      <c r="F584" s="79" t="s">
        <v>327</v>
      </c>
      <c r="G584" s="56">
        <v>123523.07610000001</v>
      </c>
    </row>
    <row r="585" spans="4:7" hidden="1">
      <c r="D585" s="78" t="s">
        <v>289</v>
      </c>
      <c r="F585" s="79" t="s">
        <v>532</v>
      </c>
      <c r="G585" s="56">
        <v>531896.65960000001</v>
      </c>
    </row>
    <row r="586" spans="4:7" ht="21" hidden="1">
      <c r="E586" s="78" t="s">
        <v>261</v>
      </c>
      <c r="F586" s="79" t="s">
        <v>1498</v>
      </c>
      <c r="G586" s="56">
        <v>181718.62880000001</v>
      </c>
    </row>
    <row r="587" spans="4:7" hidden="1">
      <c r="E587" s="78" t="s">
        <v>326</v>
      </c>
      <c r="F587" s="79" t="s">
        <v>327</v>
      </c>
      <c r="G587" s="56">
        <v>350178.03080000001</v>
      </c>
    </row>
    <row r="588" spans="4:7" hidden="1">
      <c r="D588" s="78" t="s">
        <v>326</v>
      </c>
      <c r="F588" s="79" t="s">
        <v>559</v>
      </c>
      <c r="G588" s="56">
        <v>4125</v>
      </c>
    </row>
    <row r="589" spans="4:7" hidden="1">
      <c r="E589" s="78" t="s">
        <v>326</v>
      </c>
      <c r="F589" s="79" t="s">
        <v>327</v>
      </c>
      <c r="G589" s="56">
        <v>4125</v>
      </c>
    </row>
    <row r="590" spans="4:7" ht="42" hidden="1">
      <c r="D590" s="78" t="s">
        <v>301</v>
      </c>
      <c r="F590" s="79" t="s">
        <v>560</v>
      </c>
      <c r="G590" s="56">
        <v>1137165.3828</v>
      </c>
    </row>
    <row r="591" spans="4:7" ht="21" hidden="1">
      <c r="E591" s="78" t="s">
        <v>261</v>
      </c>
      <c r="F591" s="79" t="s">
        <v>1498</v>
      </c>
      <c r="G591" s="56">
        <v>339379.8677</v>
      </c>
    </row>
    <row r="592" spans="4:7" hidden="1">
      <c r="E592" s="78" t="s">
        <v>326</v>
      </c>
      <c r="F592" s="79" t="s">
        <v>327</v>
      </c>
      <c r="G592" s="56">
        <v>797785.51509999996</v>
      </c>
    </row>
    <row r="593" spans="2:7" hidden="1">
      <c r="D593" s="78" t="s">
        <v>311</v>
      </c>
      <c r="F593" s="79" t="s">
        <v>563</v>
      </c>
      <c r="G593" s="56">
        <v>463686.0197</v>
      </c>
    </row>
    <row r="594" spans="2:7" ht="21" hidden="1">
      <c r="E594" s="78" t="s">
        <v>261</v>
      </c>
      <c r="F594" s="79" t="s">
        <v>1498</v>
      </c>
      <c r="G594" s="56">
        <v>443007.21620000002</v>
      </c>
    </row>
    <row r="595" spans="2:7" hidden="1">
      <c r="E595" s="78" t="s">
        <v>326</v>
      </c>
      <c r="F595" s="79" t="s">
        <v>327</v>
      </c>
      <c r="G595" s="56">
        <v>20678.803500000002</v>
      </c>
    </row>
    <row r="596" spans="2:7" hidden="1">
      <c r="B596" s="78" t="s">
        <v>287</v>
      </c>
      <c r="F596" s="79" t="s">
        <v>569</v>
      </c>
      <c r="G596" s="56">
        <v>16548184.644099999</v>
      </c>
    </row>
    <row r="597" spans="2:7" ht="21" hidden="1">
      <c r="C597" s="78" t="s">
        <v>370</v>
      </c>
      <c r="F597" s="79" t="s">
        <v>371</v>
      </c>
      <c r="G597" s="56">
        <v>159432.5821</v>
      </c>
    </row>
    <row r="598" spans="2:7" hidden="1">
      <c r="D598" s="78" t="s">
        <v>344</v>
      </c>
      <c r="F598" s="79" t="s">
        <v>570</v>
      </c>
      <c r="G598" s="56">
        <v>159432.5821</v>
      </c>
    </row>
    <row r="599" spans="2:7" hidden="1">
      <c r="C599" s="78" t="s">
        <v>251</v>
      </c>
      <c r="F599" s="79" t="s">
        <v>252</v>
      </c>
      <c r="G599" s="56">
        <v>984947.43680000002</v>
      </c>
    </row>
    <row r="600" spans="2:7" hidden="1">
      <c r="D600" s="78" t="s">
        <v>2472</v>
      </c>
      <c r="F600" s="79" t="s">
        <v>2556</v>
      </c>
      <c r="G600" s="56">
        <v>64451</v>
      </c>
    </row>
    <row r="601" spans="2:7" hidden="1">
      <c r="D601" s="78" t="s">
        <v>571</v>
      </c>
      <c r="F601" s="79" t="s">
        <v>2557</v>
      </c>
      <c r="G601" s="56">
        <v>0</v>
      </c>
    </row>
    <row r="602" spans="2:7" ht="21" hidden="1">
      <c r="D602" s="78" t="s">
        <v>2550</v>
      </c>
      <c r="F602" s="79" t="s">
        <v>2558</v>
      </c>
      <c r="G602" s="56">
        <v>157410</v>
      </c>
    </row>
    <row r="603" spans="2:7" hidden="1">
      <c r="E603" s="78" t="s">
        <v>332</v>
      </c>
      <c r="F603" s="79" t="s">
        <v>2559</v>
      </c>
      <c r="G603" s="56">
        <v>131910</v>
      </c>
    </row>
    <row r="604" spans="2:7" hidden="1">
      <c r="E604" s="78" t="s">
        <v>279</v>
      </c>
      <c r="F604" s="79" t="s">
        <v>2560</v>
      </c>
      <c r="G604" s="56">
        <v>25500</v>
      </c>
    </row>
    <row r="605" spans="2:7" ht="21" hidden="1">
      <c r="D605" s="78" t="s">
        <v>2561</v>
      </c>
      <c r="F605" s="79" t="s">
        <v>2562</v>
      </c>
      <c r="G605" s="56">
        <v>296220.68599999999</v>
      </c>
    </row>
    <row r="606" spans="2:7" ht="21" hidden="1">
      <c r="E606" s="78" t="s">
        <v>259</v>
      </c>
      <c r="F606" s="79" t="s">
        <v>2563</v>
      </c>
      <c r="G606" s="56">
        <v>296220.68599999999</v>
      </c>
    </row>
    <row r="607" spans="2:7" ht="21" hidden="1">
      <c r="D607" s="78" t="s">
        <v>2564</v>
      </c>
      <c r="F607" s="79" t="s">
        <v>2565</v>
      </c>
      <c r="G607" s="56">
        <v>184154</v>
      </c>
    </row>
    <row r="608" spans="2:7" ht="21" hidden="1">
      <c r="E608" s="78" t="s">
        <v>257</v>
      </c>
      <c r="F608" s="79" t="s">
        <v>2566</v>
      </c>
      <c r="G608" s="56">
        <v>68217</v>
      </c>
    </row>
    <row r="609" spans="3:7" hidden="1">
      <c r="E609" s="78" t="s">
        <v>265</v>
      </c>
      <c r="F609" s="79" t="s">
        <v>2567</v>
      </c>
      <c r="G609" s="56">
        <v>115937</v>
      </c>
    </row>
    <row r="610" spans="3:7" hidden="1">
      <c r="D610" s="78" t="s">
        <v>2522</v>
      </c>
      <c r="F610" s="79" t="s">
        <v>2568</v>
      </c>
      <c r="G610" s="56">
        <v>176101</v>
      </c>
    </row>
    <row r="611" spans="3:7" ht="21" hidden="1">
      <c r="D611" s="78" t="s">
        <v>2569</v>
      </c>
      <c r="F611" s="79" t="s">
        <v>2570</v>
      </c>
      <c r="G611" s="56">
        <v>106610.75079999999</v>
      </c>
    </row>
    <row r="612" spans="3:7" hidden="1">
      <c r="E612" s="78" t="s">
        <v>285</v>
      </c>
      <c r="F612" s="79" t="s">
        <v>305</v>
      </c>
      <c r="G612" s="56">
        <v>78869.8</v>
      </c>
    </row>
    <row r="613" spans="3:7" ht="21" hidden="1">
      <c r="E613" s="78" t="s">
        <v>301</v>
      </c>
      <c r="F613" s="79" t="s">
        <v>2571</v>
      </c>
      <c r="G613" s="56">
        <v>27740.950799999999</v>
      </c>
    </row>
    <row r="614" spans="3:7" hidden="1">
      <c r="C614" s="78" t="s">
        <v>514</v>
      </c>
      <c r="F614" s="79" t="s">
        <v>515</v>
      </c>
      <c r="G614" s="56">
        <v>3842148.8054999998</v>
      </c>
    </row>
    <row r="615" spans="3:7" ht="21" hidden="1">
      <c r="D615" s="78" t="s">
        <v>374</v>
      </c>
      <c r="F615" s="79" t="s">
        <v>574</v>
      </c>
      <c r="G615" s="56">
        <v>1691319.7537</v>
      </c>
    </row>
    <row r="616" spans="3:7" hidden="1">
      <c r="E616" s="78" t="s">
        <v>261</v>
      </c>
      <c r="F616" s="79" t="s">
        <v>325</v>
      </c>
      <c r="G616" s="56">
        <v>258145.3933</v>
      </c>
    </row>
    <row r="617" spans="3:7" hidden="1">
      <c r="E617" s="78" t="s">
        <v>326</v>
      </c>
      <c r="F617" s="79" t="s">
        <v>327</v>
      </c>
      <c r="G617" s="56">
        <v>1433174.3605</v>
      </c>
    </row>
    <row r="618" spans="3:7" hidden="1">
      <c r="D618" s="78" t="s">
        <v>334</v>
      </c>
      <c r="F618" s="79" t="s">
        <v>401</v>
      </c>
      <c r="G618" s="56">
        <v>62250.023999999998</v>
      </c>
    </row>
    <row r="619" spans="3:7" ht="21" hidden="1">
      <c r="D619" s="78" t="s">
        <v>261</v>
      </c>
      <c r="F619" s="79" t="s">
        <v>575</v>
      </c>
      <c r="G619" s="56">
        <v>348.65589999999997</v>
      </c>
    </row>
    <row r="620" spans="3:7" hidden="1">
      <c r="D620" s="78" t="s">
        <v>279</v>
      </c>
      <c r="F620" s="79" t="s">
        <v>576</v>
      </c>
      <c r="G620" s="56">
        <v>611782.82929999998</v>
      </c>
    </row>
    <row r="621" spans="3:7" hidden="1">
      <c r="E621" s="78" t="s">
        <v>261</v>
      </c>
      <c r="F621" s="79" t="s">
        <v>325</v>
      </c>
      <c r="G621" s="56">
        <v>484957.26989</v>
      </c>
    </row>
    <row r="622" spans="3:7" hidden="1">
      <c r="E622" s="78" t="s">
        <v>326</v>
      </c>
      <c r="F622" s="79" t="s">
        <v>327</v>
      </c>
      <c r="G622" s="56">
        <v>126825.55944</v>
      </c>
    </row>
    <row r="623" spans="3:7" hidden="1">
      <c r="D623" s="78" t="s">
        <v>249</v>
      </c>
      <c r="F623" s="79" t="s">
        <v>577</v>
      </c>
      <c r="G623" s="56">
        <v>176416.1465</v>
      </c>
    </row>
    <row r="624" spans="3:7" hidden="1">
      <c r="E624" s="78" t="s">
        <v>261</v>
      </c>
      <c r="F624" s="79" t="s">
        <v>325</v>
      </c>
      <c r="G624" s="56">
        <v>143155.10458000001</v>
      </c>
    </row>
    <row r="625" spans="4:7" hidden="1">
      <c r="E625" s="78" t="s">
        <v>2492</v>
      </c>
      <c r="F625" s="79" t="s">
        <v>2493</v>
      </c>
      <c r="G625" s="56">
        <v>33261.041960000002</v>
      </c>
    </row>
    <row r="626" spans="4:7" ht="21" hidden="1">
      <c r="D626" s="78" t="s">
        <v>381</v>
      </c>
      <c r="F626" s="79" t="s">
        <v>578</v>
      </c>
      <c r="G626" s="56">
        <v>30103.397199999999</v>
      </c>
    </row>
    <row r="627" spans="4:7" hidden="1">
      <c r="E627" s="78" t="s">
        <v>261</v>
      </c>
      <c r="F627" s="79" t="s">
        <v>325</v>
      </c>
      <c r="G627" s="56">
        <v>5101.32</v>
      </c>
    </row>
    <row r="628" spans="4:7" hidden="1">
      <c r="E628" s="78" t="s">
        <v>326</v>
      </c>
      <c r="F628" s="79" t="s">
        <v>327</v>
      </c>
      <c r="G628" s="56">
        <v>25002.0772</v>
      </c>
    </row>
    <row r="629" spans="4:7" hidden="1">
      <c r="D629" s="78" t="s">
        <v>571</v>
      </c>
      <c r="F629" s="79" t="s">
        <v>579</v>
      </c>
      <c r="G629" s="56">
        <v>167661.2072</v>
      </c>
    </row>
    <row r="630" spans="4:7" hidden="1">
      <c r="E630" s="78" t="s">
        <v>261</v>
      </c>
      <c r="F630" s="79" t="s">
        <v>325</v>
      </c>
      <c r="G630" s="56">
        <v>21027.441200000001</v>
      </c>
    </row>
    <row r="631" spans="4:7" hidden="1">
      <c r="E631" s="78" t="s">
        <v>326</v>
      </c>
      <c r="F631" s="79" t="s">
        <v>327</v>
      </c>
      <c r="G631" s="56">
        <v>146633.766</v>
      </c>
    </row>
    <row r="632" spans="4:7" ht="21" hidden="1">
      <c r="D632" s="78" t="s">
        <v>350</v>
      </c>
      <c r="F632" s="79" t="s">
        <v>2572</v>
      </c>
      <c r="G632" s="56">
        <v>41972.4061</v>
      </c>
    </row>
    <row r="633" spans="4:7" hidden="1">
      <c r="E633" s="78" t="s">
        <v>261</v>
      </c>
      <c r="F633" s="79" t="s">
        <v>325</v>
      </c>
      <c r="G633" s="56">
        <v>8225.2343000000001</v>
      </c>
    </row>
    <row r="634" spans="4:7" hidden="1">
      <c r="E634" s="78" t="s">
        <v>326</v>
      </c>
      <c r="F634" s="79" t="s">
        <v>327</v>
      </c>
      <c r="G634" s="56">
        <v>33747.171840000003</v>
      </c>
    </row>
    <row r="635" spans="4:7" hidden="1">
      <c r="D635" s="78" t="s">
        <v>1499</v>
      </c>
      <c r="F635" s="79" t="s">
        <v>1500</v>
      </c>
      <c r="G635" s="56">
        <v>375052.79369999998</v>
      </c>
    </row>
    <row r="636" spans="4:7" hidden="1">
      <c r="E636" s="78" t="s">
        <v>261</v>
      </c>
      <c r="F636" s="79" t="s">
        <v>325</v>
      </c>
      <c r="G636" s="56">
        <v>353716.13368000003</v>
      </c>
    </row>
    <row r="637" spans="4:7" hidden="1">
      <c r="E637" s="78" t="s">
        <v>326</v>
      </c>
      <c r="F637" s="79" t="s">
        <v>327</v>
      </c>
      <c r="G637" s="56">
        <v>21336.66</v>
      </c>
    </row>
    <row r="638" spans="4:7" ht="21" hidden="1">
      <c r="D638" s="78" t="s">
        <v>581</v>
      </c>
      <c r="F638" s="79" t="s">
        <v>582</v>
      </c>
      <c r="G638" s="56">
        <v>635418.91689999995</v>
      </c>
    </row>
    <row r="639" spans="4:7" hidden="1">
      <c r="E639" s="78" t="s">
        <v>261</v>
      </c>
      <c r="F639" s="79" t="s">
        <v>325</v>
      </c>
      <c r="G639" s="56">
        <v>33020.859199999999</v>
      </c>
    </row>
    <row r="640" spans="4:7" hidden="1">
      <c r="E640" s="78" t="s">
        <v>326</v>
      </c>
      <c r="F640" s="79" t="s">
        <v>327</v>
      </c>
      <c r="G640" s="56">
        <v>602398.05759999994</v>
      </c>
    </row>
    <row r="641" spans="3:7" ht="21" hidden="1">
      <c r="D641" s="78" t="s">
        <v>394</v>
      </c>
      <c r="F641" s="79" t="s">
        <v>395</v>
      </c>
      <c r="G641" s="56">
        <v>8380.5249999999996</v>
      </c>
    </row>
    <row r="642" spans="3:7" ht="21" hidden="1">
      <c r="D642" s="78" t="s">
        <v>2490</v>
      </c>
      <c r="F642" s="79" t="s">
        <v>2491</v>
      </c>
      <c r="G642" s="56">
        <v>41442.15</v>
      </c>
    </row>
    <row r="643" spans="3:7" hidden="1">
      <c r="C643" s="78" t="s">
        <v>583</v>
      </c>
      <c r="F643" s="79" t="s">
        <v>584</v>
      </c>
      <c r="G643" s="56">
        <v>392444.77500000002</v>
      </c>
    </row>
    <row r="644" spans="3:7" ht="21" hidden="1">
      <c r="D644" s="78" t="s">
        <v>585</v>
      </c>
      <c r="F644" s="79" t="s">
        <v>2572</v>
      </c>
      <c r="G644" s="56">
        <v>392444.77500000002</v>
      </c>
    </row>
    <row r="645" spans="3:7" hidden="1">
      <c r="E645" s="78" t="s">
        <v>261</v>
      </c>
      <c r="F645" s="79" t="s">
        <v>325</v>
      </c>
      <c r="G645" s="56">
        <v>270942.68322000001</v>
      </c>
    </row>
    <row r="646" spans="3:7" hidden="1">
      <c r="E646" s="78" t="s">
        <v>326</v>
      </c>
      <c r="F646" s="79" t="s">
        <v>327</v>
      </c>
      <c r="G646" s="56">
        <v>121502.09177</v>
      </c>
    </row>
    <row r="647" spans="3:7" hidden="1">
      <c r="C647" s="78" t="s">
        <v>586</v>
      </c>
      <c r="F647" s="79" t="s">
        <v>587</v>
      </c>
      <c r="G647" s="56">
        <v>546738.10109999997</v>
      </c>
    </row>
    <row r="648" spans="3:7" ht="21" hidden="1">
      <c r="D648" s="78" t="s">
        <v>374</v>
      </c>
      <c r="F648" s="79" t="s">
        <v>588</v>
      </c>
      <c r="G648" s="56">
        <v>544650.86910000001</v>
      </c>
    </row>
    <row r="649" spans="3:7" hidden="1">
      <c r="E649" s="78" t="s">
        <v>261</v>
      </c>
      <c r="F649" s="79" t="s">
        <v>325</v>
      </c>
      <c r="G649" s="56">
        <v>79670.047500000001</v>
      </c>
    </row>
    <row r="650" spans="3:7" hidden="1">
      <c r="E650" s="78" t="s">
        <v>326</v>
      </c>
      <c r="F650" s="79" t="s">
        <v>327</v>
      </c>
      <c r="G650" s="56">
        <v>464980.82169999997</v>
      </c>
    </row>
    <row r="651" spans="3:7" hidden="1">
      <c r="D651" s="78" t="s">
        <v>283</v>
      </c>
      <c r="F651" s="79" t="s">
        <v>401</v>
      </c>
      <c r="G651" s="56">
        <v>2087.232</v>
      </c>
    </row>
    <row r="652" spans="3:7" hidden="1">
      <c r="C652" s="78" t="s">
        <v>589</v>
      </c>
      <c r="F652" s="79" t="s">
        <v>590</v>
      </c>
      <c r="G652" s="56">
        <v>59648.095200000003</v>
      </c>
    </row>
    <row r="653" spans="3:7" ht="21" hidden="1">
      <c r="D653" s="78" t="s">
        <v>374</v>
      </c>
      <c r="F653" s="79" t="s">
        <v>588</v>
      </c>
      <c r="G653" s="56">
        <v>59648.095200000003</v>
      </c>
    </row>
    <row r="654" spans="3:7" hidden="1">
      <c r="E654" s="78" t="s">
        <v>261</v>
      </c>
      <c r="F654" s="79" t="s">
        <v>325</v>
      </c>
      <c r="G654" s="56">
        <v>10025.007</v>
      </c>
    </row>
    <row r="655" spans="3:7" hidden="1">
      <c r="E655" s="78" t="s">
        <v>326</v>
      </c>
      <c r="F655" s="79" t="s">
        <v>327</v>
      </c>
      <c r="G655" s="56">
        <v>49623.088199999998</v>
      </c>
    </row>
    <row r="656" spans="3:7" hidden="1">
      <c r="C656" s="78" t="s">
        <v>591</v>
      </c>
      <c r="F656" s="79" t="s">
        <v>592</v>
      </c>
      <c r="G656" s="56">
        <v>104438.37820000001</v>
      </c>
    </row>
    <row r="657" spans="3:7" ht="21" hidden="1">
      <c r="D657" s="78" t="s">
        <v>374</v>
      </c>
      <c r="F657" s="79" t="s">
        <v>588</v>
      </c>
      <c r="G657" s="56">
        <v>101438.3783</v>
      </c>
    </row>
    <row r="658" spans="3:7" hidden="1">
      <c r="E658" s="78" t="s">
        <v>261</v>
      </c>
      <c r="F658" s="79" t="s">
        <v>325</v>
      </c>
      <c r="G658" s="56">
        <v>17894.6109</v>
      </c>
    </row>
    <row r="659" spans="3:7" hidden="1">
      <c r="E659" s="78" t="s">
        <v>326</v>
      </c>
      <c r="F659" s="79" t="s">
        <v>327</v>
      </c>
      <c r="G659" s="56">
        <v>83543.767399999997</v>
      </c>
    </row>
    <row r="660" spans="3:7" hidden="1">
      <c r="D660" s="78" t="s">
        <v>283</v>
      </c>
      <c r="F660" s="79" t="s">
        <v>401</v>
      </c>
      <c r="G660" s="56">
        <v>2999.9998999999998</v>
      </c>
    </row>
    <row r="661" spans="3:7" hidden="1">
      <c r="C661" s="78" t="s">
        <v>594</v>
      </c>
      <c r="F661" s="79" t="s">
        <v>595</v>
      </c>
      <c r="G661" s="56">
        <v>202178.1704</v>
      </c>
    </row>
    <row r="662" spans="3:7" ht="21" hidden="1">
      <c r="D662" s="78" t="s">
        <v>374</v>
      </c>
      <c r="F662" s="79" t="s">
        <v>588</v>
      </c>
      <c r="G662" s="56">
        <v>193170.63819999999</v>
      </c>
    </row>
    <row r="663" spans="3:7" hidden="1">
      <c r="E663" s="78" t="s">
        <v>261</v>
      </c>
      <c r="F663" s="79" t="s">
        <v>325</v>
      </c>
      <c r="G663" s="56">
        <v>31467.166300000001</v>
      </c>
    </row>
    <row r="664" spans="3:7" hidden="1">
      <c r="E664" s="78" t="s">
        <v>326</v>
      </c>
      <c r="F664" s="79" t="s">
        <v>327</v>
      </c>
      <c r="G664" s="56">
        <v>161703.4718</v>
      </c>
    </row>
    <row r="665" spans="3:7" hidden="1">
      <c r="D665" s="78" t="s">
        <v>283</v>
      </c>
      <c r="F665" s="79" t="s">
        <v>401</v>
      </c>
      <c r="G665" s="56">
        <v>9007.5321999999996</v>
      </c>
    </row>
    <row r="666" spans="3:7" hidden="1">
      <c r="E666" s="78" t="s">
        <v>261</v>
      </c>
      <c r="F666" s="79" t="s">
        <v>325</v>
      </c>
      <c r="G666" s="56">
        <v>3847.8921</v>
      </c>
    </row>
    <row r="667" spans="3:7" hidden="1">
      <c r="E667" s="78" t="s">
        <v>326</v>
      </c>
      <c r="F667" s="79" t="s">
        <v>327</v>
      </c>
      <c r="G667" s="56">
        <v>5159.6400000000003</v>
      </c>
    </row>
    <row r="668" spans="3:7" ht="21" hidden="1">
      <c r="C668" s="78" t="s">
        <v>527</v>
      </c>
      <c r="F668" s="79" t="s">
        <v>528</v>
      </c>
      <c r="G668" s="56">
        <v>1417935.0075000001</v>
      </c>
    </row>
    <row r="669" spans="3:7" ht="21" hidden="1">
      <c r="D669" s="78" t="s">
        <v>374</v>
      </c>
      <c r="F669" s="79" t="s">
        <v>574</v>
      </c>
      <c r="G669" s="56">
        <v>638683.07550000004</v>
      </c>
    </row>
    <row r="670" spans="3:7" hidden="1">
      <c r="E670" s="78" t="s">
        <v>261</v>
      </c>
      <c r="F670" s="79" t="s">
        <v>325</v>
      </c>
      <c r="G670" s="56">
        <v>91980.233999999997</v>
      </c>
    </row>
    <row r="671" spans="3:7" hidden="1">
      <c r="E671" s="78" t="s">
        <v>326</v>
      </c>
      <c r="F671" s="79" t="s">
        <v>327</v>
      </c>
      <c r="G671" s="56">
        <v>546702.84149999998</v>
      </c>
    </row>
    <row r="672" spans="3:7" ht="21" hidden="1">
      <c r="D672" s="78" t="s">
        <v>297</v>
      </c>
      <c r="F672" s="79" t="s">
        <v>575</v>
      </c>
      <c r="G672" s="56">
        <v>12403</v>
      </c>
    </row>
    <row r="673" spans="3:7" hidden="1">
      <c r="D673" s="78" t="s">
        <v>249</v>
      </c>
      <c r="F673" s="79" t="s">
        <v>576</v>
      </c>
      <c r="G673" s="56">
        <v>117759.8078</v>
      </c>
    </row>
    <row r="674" spans="3:7" hidden="1">
      <c r="E674" s="78" t="s">
        <v>261</v>
      </c>
      <c r="F674" s="79" t="s">
        <v>325</v>
      </c>
      <c r="G674" s="56">
        <v>67390.807799999995</v>
      </c>
    </row>
    <row r="675" spans="3:7" hidden="1">
      <c r="E675" s="78" t="s">
        <v>326</v>
      </c>
      <c r="F675" s="79" t="s">
        <v>327</v>
      </c>
      <c r="G675" s="56">
        <v>50369</v>
      </c>
    </row>
    <row r="676" spans="3:7" hidden="1">
      <c r="D676" s="78" t="s">
        <v>344</v>
      </c>
      <c r="F676" s="79" t="s">
        <v>401</v>
      </c>
      <c r="G676" s="56">
        <v>14744.406199999999</v>
      </c>
    </row>
    <row r="677" spans="3:7" ht="21" hidden="1">
      <c r="D677" s="78" t="s">
        <v>361</v>
      </c>
      <c r="F677" s="79" t="s">
        <v>2572</v>
      </c>
      <c r="G677" s="56">
        <v>230653.43780000001</v>
      </c>
    </row>
    <row r="678" spans="3:7" hidden="1">
      <c r="E678" s="78" t="s">
        <v>261</v>
      </c>
      <c r="F678" s="79" t="s">
        <v>325</v>
      </c>
      <c r="G678" s="56">
        <v>218763.43780000001</v>
      </c>
    </row>
    <row r="679" spans="3:7" hidden="1">
      <c r="E679" s="78" t="s">
        <v>326</v>
      </c>
      <c r="F679" s="79" t="s">
        <v>327</v>
      </c>
      <c r="G679" s="56">
        <v>11890</v>
      </c>
    </row>
    <row r="680" spans="3:7" hidden="1">
      <c r="D680" s="78" t="s">
        <v>1499</v>
      </c>
      <c r="F680" s="79" t="s">
        <v>1500</v>
      </c>
      <c r="G680" s="56">
        <v>151385.212</v>
      </c>
    </row>
    <row r="681" spans="3:7" hidden="1">
      <c r="E681" s="78" t="s">
        <v>261</v>
      </c>
      <c r="F681" s="79" t="s">
        <v>325</v>
      </c>
      <c r="G681" s="56">
        <v>151385.212</v>
      </c>
    </row>
    <row r="682" spans="3:7" ht="21" hidden="1">
      <c r="D682" s="78" t="s">
        <v>581</v>
      </c>
      <c r="F682" s="79" t="s">
        <v>582</v>
      </c>
      <c r="G682" s="56">
        <v>102306.06819999999</v>
      </c>
    </row>
    <row r="683" spans="3:7" ht="21" hidden="1">
      <c r="D683" s="78" t="s">
        <v>390</v>
      </c>
      <c r="F683" s="79" t="s">
        <v>391</v>
      </c>
      <c r="G683" s="56">
        <v>150000</v>
      </c>
    </row>
    <row r="684" spans="3:7" hidden="1">
      <c r="C684" s="78" t="s">
        <v>1501</v>
      </c>
      <c r="F684" s="79" t="s">
        <v>1502</v>
      </c>
      <c r="G684" s="56">
        <v>27919</v>
      </c>
    </row>
    <row r="685" spans="3:7" ht="21" hidden="1">
      <c r="D685" s="78" t="s">
        <v>585</v>
      </c>
      <c r="F685" s="79" t="s">
        <v>2572</v>
      </c>
      <c r="G685" s="56">
        <v>27919</v>
      </c>
    </row>
    <row r="686" spans="3:7" hidden="1">
      <c r="E686" s="78" t="s">
        <v>261</v>
      </c>
      <c r="F686" s="79" t="s">
        <v>325</v>
      </c>
      <c r="G686" s="56">
        <v>21476</v>
      </c>
    </row>
    <row r="687" spans="3:7" hidden="1">
      <c r="E687" s="78" t="s">
        <v>326</v>
      </c>
      <c r="F687" s="79" t="s">
        <v>327</v>
      </c>
      <c r="G687" s="56">
        <v>6443</v>
      </c>
    </row>
    <row r="688" spans="3:7" hidden="1">
      <c r="C688" s="78" t="s">
        <v>596</v>
      </c>
      <c r="F688" s="79" t="s">
        <v>597</v>
      </c>
      <c r="G688" s="56">
        <v>87116.579199999993</v>
      </c>
    </row>
    <row r="689" spans="3:7" ht="21" hidden="1">
      <c r="D689" s="78" t="s">
        <v>374</v>
      </c>
      <c r="F689" s="79" t="s">
        <v>598</v>
      </c>
      <c r="G689" s="56">
        <v>82370.2592</v>
      </c>
    </row>
    <row r="690" spans="3:7" hidden="1">
      <c r="E690" s="78" t="s">
        <v>261</v>
      </c>
      <c r="F690" s="79" t="s">
        <v>325</v>
      </c>
      <c r="G690" s="56">
        <v>12820.859399999999</v>
      </c>
    </row>
    <row r="691" spans="3:7" hidden="1">
      <c r="E691" s="78" t="s">
        <v>326</v>
      </c>
      <c r="F691" s="79" t="s">
        <v>327</v>
      </c>
      <c r="G691" s="56">
        <v>69549.399799999999</v>
      </c>
    </row>
    <row r="692" spans="3:7" hidden="1">
      <c r="D692" s="78" t="s">
        <v>283</v>
      </c>
      <c r="F692" s="79" t="s">
        <v>401</v>
      </c>
      <c r="G692" s="56">
        <v>4746.32</v>
      </c>
    </row>
    <row r="693" spans="3:7" ht="21" hidden="1">
      <c r="C693" s="78" t="s">
        <v>1490</v>
      </c>
      <c r="F693" s="79" t="s">
        <v>1491</v>
      </c>
      <c r="G693" s="56">
        <v>873573.99250000005</v>
      </c>
    </row>
    <row r="694" spans="3:7" ht="31.5" hidden="1">
      <c r="D694" s="78" t="s">
        <v>374</v>
      </c>
      <c r="F694" s="79" t="s">
        <v>1503</v>
      </c>
      <c r="G694" s="56">
        <v>252771.31299999999</v>
      </c>
    </row>
    <row r="695" spans="3:7" hidden="1">
      <c r="E695" s="78" t="s">
        <v>261</v>
      </c>
      <c r="F695" s="79" t="s">
        <v>325</v>
      </c>
      <c r="G695" s="56">
        <v>29239.7565</v>
      </c>
    </row>
    <row r="696" spans="3:7" hidden="1">
      <c r="E696" s="78" t="s">
        <v>326</v>
      </c>
      <c r="F696" s="79" t="s">
        <v>327</v>
      </c>
      <c r="G696" s="56">
        <v>223531.55650000001</v>
      </c>
    </row>
    <row r="697" spans="3:7" ht="21" hidden="1">
      <c r="D697" s="78" t="s">
        <v>297</v>
      </c>
      <c r="F697" s="79" t="s">
        <v>575</v>
      </c>
      <c r="G697" s="56">
        <v>5232.5403999999999</v>
      </c>
    </row>
    <row r="698" spans="3:7" hidden="1">
      <c r="D698" s="78" t="s">
        <v>249</v>
      </c>
      <c r="F698" s="79" t="s">
        <v>609</v>
      </c>
      <c r="G698" s="56">
        <v>126659.3314</v>
      </c>
    </row>
    <row r="699" spans="3:7" hidden="1">
      <c r="E699" s="78" t="s">
        <v>261</v>
      </c>
      <c r="F699" s="79" t="s">
        <v>325</v>
      </c>
      <c r="G699" s="56">
        <v>10868</v>
      </c>
    </row>
    <row r="700" spans="3:7" hidden="1">
      <c r="E700" s="78" t="s">
        <v>326</v>
      </c>
      <c r="F700" s="79" t="s">
        <v>327</v>
      </c>
      <c r="G700" s="56">
        <v>115791.33143000001</v>
      </c>
    </row>
    <row r="701" spans="3:7" hidden="1">
      <c r="D701" s="78" t="s">
        <v>344</v>
      </c>
      <c r="F701" s="79" t="s">
        <v>401</v>
      </c>
      <c r="G701" s="56">
        <v>1895.4760000000001</v>
      </c>
    </row>
    <row r="702" spans="3:7" ht="21" hidden="1">
      <c r="D702" s="78" t="s">
        <v>381</v>
      </c>
      <c r="F702" s="79" t="s">
        <v>578</v>
      </c>
      <c r="G702" s="56">
        <v>83616.238200000007</v>
      </c>
    </row>
    <row r="703" spans="3:7" hidden="1">
      <c r="E703" s="78" t="s">
        <v>261</v>
      </c>
      <c r="F703" s="79" t="s">
        <v>325</v>
      </c>
      <c r="G703" s="56">
        <v>9878.9240000000009</v>
      </c>
    </row>
    <row r="704" spans="3:7" hidden="1">
      <c r="E704" s="78" t="s">
        <v>326</v>
      </c>
      <c r="F704" s="79" t="s">
        <v>327</v>
      </c>
      <c r="G704" s="56">
        <v>73737.314199999993</v>
      </c>
    </row>
    <row r="705" spans="3:7" hidden="1">
      <c r="D705" s="78" t="s">
        <v>571</v>
      </c>
      <c r="F705" s="79" t="s">
        <v>579</v>
      </c>
      <c r="G705" s="56">
        <v>2645.5032999999999</v>
      </c>
    </row>
    <row r="706" spans="3:7" hidden="1">
      <c r="E706" s="78" t="s">
        <v>261</v>
      </c>
      <c r="F706" s="79" t="s">
        <v>325</v>
      </c>
      <c r="G706" s="56">
        <v>132.8032</v>
      </c>
    </row>
    <row r="707" spans="3:7" hidden="1">
      <c r="E707" s="78" t="s">
        <v>326</v>
      </c>
      <c r="F707" s="79" t="s">
        <v>327</v>
      </c>
      <c r="G707" s="56">
        <v>2512.7001</v>
      </c>
    </row>
    <row r="708" spans="3:7" ht="21" hidden="1">
      <c r="D708" s="78" t="s">
        <v>361</v>
      </c>
      <c r="F708" s="79" t="s">
        <v>2572</v>
      </c>
      <c r="G708" s="56">
        <v>69946.657000000007</v>
      </c>
    </row>
    <row r="709" spans="3:7" hidden="1">
      <c r="E709" s="78" t="s">
        <v>261</v>
      </c>
      <c r="F709" s="79" t="s">
        <v>325</v>
      </c>
      <c r="G709" s="56">
        <v>13780.291999999999</v>
      </c>
    </row>
    <row r="710" spans="3:7" hidden="1">
      <c r="E710" s="78" t="s">
        <v>326</v>
      </c>
      <c r="F710" s="79" t="s">
        <v>327</v>
      </c>
      <c r="G710" s="56">
        <v>56166.364979999998</v>
      </c>
    </row>
    <row r="711" spans="3:7" hidden="1">
      <c r="D711" s="78" t="s">
        <v>1499</v>
      </c>
      <c r="F711" s="79" t="s">
        <v>1500</v>
      </c>
      <c r="G711" s="56">
        <v>82292.731400000004</v>
      </c>
    </row>
    <row r="712" spans="3:7" hidden="1">
      <c r="E712" s="78" t="s">
        <v>261</v>
      </c>
      <c r="F712" s="79" t="s">
        <v>325</v>
      </c>
      <c r="G712" s="56">
        <v>82292.731360000005</v>
      </c>
    </row>
    <row r="713" spans="3:7" ht="21" hidden="1">
      <c r="D713" s="78" t="s">
        <v>581</v>
      </c>
      <c r="F713" s="79" t="s">
        <v>582</v>
      </c>
      <c r="G713" s="56">
        <v>248514.20189999999</v>
      </c>
    </row>
    <row r="714" spans="3:7" hidden="1">
      <c r="C714" s="78" t="s">
        <v>552</v>
      </c>
      <c r="F714" s="79" t="s">
        <v>553</v>
      </c>
      <c r="G714" s="56">
        <v>7577290.8448999999</v>
      </c>
    </row>
    <row r="715" spans="3:7" ht="21" hidden="1">
      <c r="D715" s="78" t="s">
        <v>374</v>
      </c>
      <c r="F715" s="79" t="s">
        <v>574</v>
      </c>
      <c r="G715" s="56">
        <v>5857712.1853999998</v>
      </c>
    </row>
    <row r="716" spans="3:7" hidden="1">
      <c r="E716" s="78" t="s">
        <v>261</v>
      </c>
      <c r="F716" s="79" t="s">
        <v>325</v>
      </c>
      <c r="G716" s="56">
        <v>1052837.6327</v>
      </c>
    </row>
    <row r="717" spans="3:7" hidden="1">
      <c r="E717" s="78" t="s">
        <v>326</v>
      </c>
      <c r="F717" s="79" t="s">
        <v>327</v>
      </c>
      <c r="G717" s="56">
        <v>4804874.5525000002</v>
      </c>
    </row>
    <row r="718" spans="3:7" ht="21" hidden="1">
      <c r="D718" s="78" t="s">
        <v>261</v>
      </c>
      <c r="F718" s="79" t="s">
        <v>575</v>
      </c>
      <c r="G718" s="56">
        <v>233501.6263</v>
      </c>
    </row>
    <row r="719" spans="3:7" hidden="1">
      <c r="E719" s="78" t="s">
        <v>261</v>
      </c>
      <c r="F719" s="79" t="s">
        <v>325</v>
      </c>
      <c r="G719" s="56">
        <v>3249</v>
      </c>
    </row>
    <row r="720" spans="3:7" hidden="1">
      <c r="E720" s="78" t="s">
        <v>326</v>
      </c>
      <c r="F720" s="79" t="s">
        <v>327</v>
      </c>
      <c r="G720" s="56">
        <v>230252.62632000001</v>
      </c>
    </row>
    <row r="721" spans="3:7" hidden="1">
      <c r="D721" s="78" t="s">
        <v>295</v>
      </c>
      <c r="F721" s="79" t="s">
        <v>593</v>
      </c>
      <c r="G721" s="56">
        <v>0</v>
      </c>
    </row>
    <row r="722" spans="3:7" hidden="1">
      <c r="D722" s="78" t="s">
        <v>307</v>
      </c>
      <c r="F722" s="79" t="s">
        <v>401</v>
      </c>
      <c r="G722" s="56">
        <v>89156.660399999993</v>
      </c>
    </row>
    <row r="723" spans="3:7" hidden="1">
      <c r="E723" s="78" t="s">
        <v>326</v>
      </c>
      <c r="F723" s="79" t="s">
        <v>2573</v>
      </c>
      <c r="G723" s="56">
        <v>89056.660399999993</v>
      </c>
    </row>
    <row r="724" spans="3:7" ht="21" hidden="1">
      <c r="D724" s="78" t="s">
        <v>600</v>
      </c>
      <c r="F724" s="79" t="s">
        <v>2572</v>
      </c>
      <c r="G724" s="56">
        <v>1050518.6163999999</v>
      </c>
    </row>
    <row r="725" spans="3:7" hidden="1">
      <c r="E725" s="78" t="s">
        <v>261</v>
      </c>
      <c r="F725" s="79" t="s">
        <v>325</v>
      </c>
      <c r="G725" s="56">
        <v>818451.61439999996</v>
      </c>
    </row>
    <row r="726" spans="3:7" hidden="1">
      <c r="E726" s="78" t="s">
        <v>326</v>
      </c>
      <c r="F726" s="79" t="s">
        <v>327</v>
      </c>
      <c r="G726" s="56">
        <v>232067.00200000001</v>
      </c>
    </row>
    <row r="727" spans="3:7" hidden="1">
      <c r="D727" s="78" t="s">
        <v>2574</v>
      </c>
      <c r="F727" s="79" t="s">
        <v>609</v>
      </c>
      <c r="G727" s="56">
        <v>208244.21280000001</v>
      </c>
    </row>
    <row r="728" spans="3:7" hidden="1">
      <c r="E728" s="78" t="s">
        <v>261</v>
      </c>
      <c r="F728" s="79" t="s">
        <v>325</v>
      </c>
      <c r="G728" s="56">
        <v>162930.97812000001</v>
      </c>
    </row>
    <row r="729" spans="3:7" hidden="1">
      <c r="E729" s="78" t="s">
        <v>326</v>
      </c>
      <c r="F729" s="79" t="s">
        <v>327</v>
      </c>
      <c r="G729" s="56">
        <v>45313.234689999997</v>
      </c>
    </row>
    <row r="730" spans="3:7" ht="21" hidden="1">
      <c r="D730" s="78" t="s">
        <v>581</v>
      </c>
      <c r="F730" s="79" t="s">
        <v>582</v>
      </c>
      <c r="G730" s="56">
        <v>80481.641600000003</v>
      </c>
    </row>
    <row r="731" spans="3:7" hidden="1">
      <c r="E731" s="78" t="s">
        <v>326</v>
      </c>
      <c r="F731" s="79" t="s">
        <v>327</v>
      </c>
      <c r="G731" s="56">
        <v>80481.641699999993</v>
      </c>
    </row>
    <row r="732" spans="3:7" ht="21" hidden="1">
      <c r="D732" s="78" t="s">
        <v>390</v>
      </c>
      <c r="F732" s="79" t="s">
        <v>391</v>
      </c>
      <c r="G732" s="56">
        <v>55878.1</v>
      </c>
    </row>
    <row r="733" spans="3:7" ht="21" hidden="1">
      <c r="D733" s="78" t="s">
        <v>394</v>
      </c>
      <c r="F733" s="79" t="s">
        <v>395</v>
      </c>
      <c r="G733" s="56">
        <v>1797.8018999999999</v>
      </c>
    </row>
    <row r="734" spans="3:7" ht="21" hidden="1">
      <c r="C734" s="78" t="s">
        <v>601</v>
      </c>
      <c r="F734" s="79" t="s">
        <v>602</v>
      </c>
      <c r="G734" s="56">
        <v>79424.548800000004</v>
      </c>
    </row>
    <row r="735" spans="3:7" ht="21" hidden="1">
      <c r="D735" s="78" t="s">
        <v>600</v>
      </c>
      <c r="F735" s="79" t="s">
        <v>2572</v>
      </c>
      <c r="G735" s="56">
        <v>79424.548800000004</v>
      </c>
    </row>
    <row r="736" spans="3:7" hidden="1">
      <c r="E736" s="78" t="s">
        <v>261</v>
      </c>
      <c r="F736" s="79" t="s">
        <v>325</v>
      </c>
      <c r="G736" s="56">
        <v>61026.623699999996</v>
      </c>
    </row>
    <row r="737" spans="3:7" hidden="1">
      <c r="E737" s="78" t="s">
        <v>326</v>
      </c>
      <c r="F737" s="79" t="s">
        <v>327</v>
      </c>
      <c r="G737" s="56">
        <v>18397.9251</v>
      </c>
    </row>
    <row r="738" spans="3:7" ht="21" hidden="1">
      <c r="C738" s="78" t="s">
        <v>603</v>
      </c>
      <c r="F738" s="79" t="s">
        <v>604</v>
      </c>
      <c r="G738" s="56">
        <v>8377.3119999999999</v>
      </c>
    </row>
    <row r="739" spans="3:7" hidden="1">
      <c r="D739" s="78" t="s">
        <v>600</v>
      </c>
      <c r="F739" s="873" t="s">
        <v>690</v>
      </c>
      <c r="G739" s="56">
        <v>8377.3119999999999</v>
      </c>
    </row>
    <row r="740" spans="3:7" hidden="1">
      <c r="E740" s="78" t="s">
        <v>261</v>
      </c>
      <c r="F740" s="79" t="s">
        <v>325</v>
      </c>
      <c r="G740" s="56">
        <v>5568.2860000000001</v>
      </c>
    </row>
    <row r="741" spans="3:7" hidden="1">
      <c r="E741" s="78" t="s">
        <v>326</v>
      </c>
      <c r="F741" s="79" t="s">
        <v>327</v>
      </c>
      <c r="G741" s="56">
        <v>2809.0259999999998</v>
      </c>
    </row>
    <row r="742" spans="3:7" ht="21" hidden="1">
      <c r="C742" s="78" t="s">
        <v>605</v>
      </c>
      <c r="F742" s="79" t="s">
        <v>606</v>
      </c>
      <c r="G742" s="56">
        <v>5435.6049999999996</v>
      </c>
    </row>
    <row r="743" spans="3:7" ht="21" hidden="1">
      <c r="D743" s="78" t="s">
        <v>600</v>
      </c>
      <c r="F743" s="79" t="s">
        <v>2572</v>
      </c>
      <c r="G743" s="56">
        <v>5435.6049999999996</v>
      </c>
    </row>
    <row r="744" spans="3:7" hidden="1">
      <c r="E744" s="78" t="s">
        <v>261</v>
      </c>
      <c r="F744" s="79" t="s">
        <v>325</v>
      </c>
      <c r="G744" s="56">
        <v>3262.31</v>
      </c>
    </row>
    <row r="745" spans="3:7" hidden="1">
      <c r="E745" s="78" t="s">
        <v>326</v>
      </c>
      <c r="F745" s="79" t="s">
        <v>327</v>
      </c>
      <c r="G745" s="56">
        <v>2173.2950000000001</v>
      </c>
    </row>
    <row r="746" spans="3:7" ht="21" hidden="1">
      <c r="C746" s="78" t="s">
        <v>607</v>
      </c>
      <c r="F746" s="79" t="s">
        <v>608</v>
      </c>
      <c r="G746" s="56">
        <v>2442.5605999999998</v>
      </c>
    </row>
    <row r="747" spans="3:7" ht="21" hidden="1">
      <c r="D747" s="78" t="s">
        <v>600</v>
      </c>
      <c r="F747" s="79" t="s">
        <v>2572</v>
      </c>
      <c r="G747" s="56">
        <v>2442.5605999999998</v>
      </c>
    </row>
    <row r="748" spans="3:7" hidden="1">
      <c r="E748" s="78" t="s">
        <v>261</v>
      </c>
      <c r="F748" s="79" t="s">
        <v>325</v>
      </c>
      <c r="G748" s="56">
        <v>2095.1605500000001</v>
      </c>
    </row>
    <row r="749" spans="3:7" hidden="1">
      <c r="E749" s="78" t="s">
        <v>326</v>
      </c>
      <c r="F749" s="79" t="s">
        <v>327</v>
      </c>
      <c r="G749" s="56">
        <v>347.4</v>
      </c>
    </row>
    <row r="750" spans="3:7" hidden="1">
      <c r="C750" s="78" t="s">
        <v>1505</v>
      </c>
      <c r="F750" s="79" t="s">
        <v>1506</v>
      </c>
      <c r="G750" s="56">
        <v>0</v>
      </c>
    </row>
    <row r="751" spans="3:7" ht="21" hidden="1">
      <c r="D751" s="78" t="s">
        <v>585</v>
      </c>
      <c r="F751" s="79" t="s">
        <v>2572</v>
      </c>
      <c r="G751" s="56">
        <v>0</v>
      </c>
    </row>
    <row r="752" spans="3:7" ht="21" hidden="1">
      <c r="C752" s="78" t="s">
        <v>1496</v>
      </c>
      <c r="F752" s="79" t="s">
        <v>1497</v>
      </c>
      <c r="G752" s="56">
        <v>176692.84940000001</v>
      </c>
    </row>
    <row r="753" spans="4:7" ht="21" hidden="1">
      <c r="D753" s="78" t="s">
        <v>279</v>
      </c>
      <c r="F753" s="79" t="s">
        <v>575</v>
      </c>
      <c r="G753" s="56">
        <v>73165.682799999995</v>
      </c>
    </row>
    <row r="754" spans="4:7" ht="21" hidden="1">
      <c r="E754" s="78" t="s">
        <v>261</v>
      </c>
      <c r="F754" s="79" t="s">
        <v>1498</v>
      </c>
      <c r="G754" s="56">
        <v>34</v>
      </c>
    </row>
    <row r="755" spans="4:7" hidden="1">
      <c r="E755" s="78" t="s">
        <v>326</v>
      </c>
      <c r="F755" s="79" t="s">
        <v>327</v>
      </c>
      <c r="G755" s="56">
        <v>73131.682750000007</v>
      </c>
    </row>
    <row r="756" spans="4:7" ht="21" hidden="1">
      <c r="D756" s="78" t="s">
        <v>600</v>
      </c>
      <c r="F756" s="79" t="s">
        <v>2572</v>
      </c>
      <c r="G756" s="56">
        <v>103527.1666</v>
      </c>
    </row>
    <row r="757" spans="4:7" ht="21" hidden="1">
      <c r="E757" s="78" t="s">
        <v>261</v>
      </c>
      <c r="F757" s="79" t="s">
        <v>1498</v>
      </c>
      <c r="G757" s="56">
        <v>48288.858</v>
      </c>
    </row>
    <row r="758" spans="4:7" hidden="1">
      <c r="E758" s="78" t="s">
        <v>326</v>
      </c>
      <c r="F758" s="79" t="s">
        <v>327</v>
      </c>
      <c r="G758" s="56">
        <v>55238.308599999997</v>
      </c>
    </row>
    <row r="759" spans="4:7" hidden="1"/>
    <row r="760" spans="4:7" hidden="1"/>
    <row r="761" spans="4:7" hidden="1"/>
    <row r="762" spans="4:7" hidden="1"/>
    <row r="763" spans="4:7" hidden="1"/>
    <row r="764" spans="4:7" hidden="1"/>
    <row r="765" spans="4:7" hidden="1"/>
    <row r="766" spans="4:7" hidden="1"/>
    <row r="767" spans="4:7" hidden="1"/>
    <row r="768" spans="4:7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</sheetData>
  <mergeCells count="4">
    <mergeCell ref="A7:E8"/>
    <mergeCell ref="F7:F8"/>
    <mergeCell ref="G7:G8"/>
    <mergeCell ref="A9:E9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74" firstPageNumber="13" fitToHeight="0" orientation="landscape" useFirstPageNumber="1" r:id="rId1"/>
  <headerFooter alignWithMargins="0">
    <oddFooter>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2"/>
  <sheetViews>
    <sheetView topLeftCell="A7" workbookViewId="0">
      <selection activeCell="N19" sqref="N19"/>
    </sheetView>
  </sheetViews>
  <sheetFormatPr defaultRowHeight="11.25"/>
  <cols>
    <col min="1" max="5" width="4" style="78" customWidth="1"/>
    <col min="6" max="6" width="52.7109375" style="49" customWidth="1"/>
    <col min="7" max="7" width="13.85546875" style="49" customWidth="1"/>
    <col min="8" max="9" width="9.140625" style="49"/>
    <col min="10" max="10" width="11.140625" style="49" customWidth="1"/>
    <col min="11" max="11" width="44.7109375" style="49" customWidth="1"/>
    <col min="12" max="12" width="11.7109375" style="49" customWidth="1"/>
    <col min="13" max="13" width="14.5703125" style="49" customWidth="1"/>
    <col min="14" max="14" width="10.85546875" style="49" bestFit="1" customWidth="1"/>
    <col min="15" max="15" width="9.140625" style="49"/>
    <col min="16" max="16" width="14.85546875" style="49" customWidth="1"/>
    <col min="17" max="16384" width="9.140625" style="49"/>
  </cols>
  <sheetData>
    <row r="1" spans="1:17" s="44" customFormat="1" ht="15.75">
      <c r="A1" s="865"/>
      <c r="B1" s="42"/>
      <c r="C1" s="42"/>
      <c r="D1" s="42"/>
      <c r="E1" s="42"/>
      <c r="F1" s="49"/>
      <c r="G1" s="866"/>
    </row>
    <row r="2" spans="1:17" s="44" customFormat="1" ht="15.75">
      <c r="A2" s="867"/>
      <c r="B2" s="42"/>
      <c r="C2" s="42"/>
      <c r="D2" s="42"/>
      <c r="E2" s="42"/>
      <c r="F2" s="879"/>
      <c r="G2" s="868"/>
    </row>
    <row r="3" spans="1:17" s="44" customFormat="1" ht="15.75">
      <c r="A3" s="66"/>
      <c r="B3" s="42"/>
      <c r="C3" s="42"/>
      <c r="D3" s="42"/>
      <c r="E3" s="42"/>
      <c r="F3" s="43"/>
      <c r="G3" s="67"/>
      <c r="J3" s="884" t="s">
        <v>620</v>
      </c>
      <c r="K3" s="216">
        <f>K4</f>
        <v>407240316.35964996</v>
      </c>
      <c r="M3" s="91" t="s">
        <v>618</v>
      </c>
      <c r="N3" s="215">
        <f>G13+G17+G45+G62+G88+G112+G127+G141+G148+G200+G158+G21</f>
        <v>614853670.02619994</v>
      </c>
      <c r="O3" s="44">
        <f>K5/N4*100</f>
        <v>33.7247503733103</v>
      </c>
      <c r="P3" s="215">
        <f>O3*N3/100</f>
        <v>207357865.37747297</v>
      </c>
      <c r="Q3" s="44">
        <v>11</v>
      </c>
    </row>
    <row r="4" spans="1:17" s="44" customFormat="1" ht="22.5">
      <c r="A4" s="66" t="s">
        <v>499</v>
      </c>
      <c r="B4" s="42"/>
      <c r="C4" s="42"/>
      <c r="D4" s="42"/>
      <c r="E4" s="42"/>
      <c r="F4" s="43"/>
      <c r="G4" s="67"/>
      <c r="J4" s="91">
        <v>11</v>
      </c>
      <c r="K4" s="215">
        <f>G15+G23+G26+G29+G49+G52+G64+G67+G69+G72+G75+G78+G81+G84+G86+G90+G93+G95+G97+G99+G102+G104+G107+G109+G114+G120+G122+G125+G132+G134+G138+G143+G146++G152+G160+G163+G166+G171+G176+G181+G202+G205+G208+G214+G218</f>
        <v>407240316.35964996</v>
      </c>
      <c r="M4" s="91" t="s">
        <v>617</v>
      </c>
      <c r="N4" s="215">
        <f>K3+K5</f>
        <v>614468174.24833989</v>
      </c>
      <c r="O4" s="44">
        <f>K4/N4*100</f>
        <v>66.275249626689714</v>
      </c>
      <c r="P4" s="215">
        <f>O4*N3/100</f>
        <v>407495804.64872712</v>
      </c>
      <c r="Q4" s="44">
        <v>15</v>
      </c>
    </row>
    <row r="5" spans="1:17" s="48" customFormat="1" ht="12.75">
      <c r="A5" s="46" t="s">
        <v>500</v>
      </c>
      <c r="B5" s="46"/>
      <c r="C5" s="46"/>
      <c r="D5" s="46"/>
      <c r="E5" s="46"/>
      <c r="F5" s="47" t="s">
        <v>1485</v>
      </c>
      <c r="G5" s="68"/>
      <c r="J5" s="884" t="s">
        <v>621</v>
      </c>
      <c r="K5" s="888">
        <f>SUM(K6:K11)</f>
        <v>207227857.88868999</v>
      </c>
      <c r="M5" s="48" t="s">
        <v>2575</v>
      </c>
      <c r="N5" s="887">
        <f>N3-N4</f>
        <v>385495.77786004543</v>
      </c>
    </row>
    <row r="6" spans="1:17">
      <c r="A6" s="46" t="s">
        <v>501</v>
      </c>
      <c r="B6" s="46"/>
      <c r="C6" s="46"/>
      <c r="D6" s="46"/>
      <c r="E6" s="46"/>
      <c r="F6" s="47" t="s">
        <v>228</v>
      </c>
      <c r="J6" s="91">
        <v>15</v>
      </c>
      <c r="K6" s="56">
        <f>G16+G24+G27+G30+G47+G50+G53+G65+G70+G73+G76+G79+G87+G82+G91+G100+G105+G110+G123+G126+G135+G139+G144+G147+G150+G153+G161+G167+G164+G172+G177+G182+G203+G209+G206+G212+G215+G219+G19</f>
        <v>181680779.0663</v>
      </c>
    </row>
    <row r="7" spans="1:17" s="69" customFormat="1" ht="42.75" customHeight="1">
      <c r="A7" s="1321" t="s">
        <v>229</v>
      </c>
      <c r="B7" s="1322"/>
      <c r="C7" s="1322"/>
      <c r="D7" s="1322"/>
      <c r="E7" s="1322"/>
      <c r="F7" s="1318" t="s">
        <v>230</v>
      </c>
      <c r="G7" s="1318" t="s">
        <v>2465</v>
      </c>
      <c r="J7" s="91" t="s">
        <v>616</v>
      </c>
      <c r="K7" s="56">
        <f>G31+G54+G173+G178+G216+G168+G210</f>
        <v>588802.88449999993</v>
      </c>
    </row>
    <row r="8" spans="1:17" s="69" customFormat="1" ht="35.25" customHeight="1">
      <c r="A8" s="1312"/>
      <c r="B8" s="1313"/>
      <c r="C8" s="1313"/>
      <c r="D8" s="1313"/>
      <c r="E8" s="1313"/>
      <c r="F8" s="1305"/>
      <c r="G8" s="1305"/>
      <c r="J8" s="91">
        <v>101</v>
      </c>
      <c r="K8" s="56">
        <f>G115+G129</f>
        <v>175995.07111000002</v>
      </c>
    </row>
    <row r="9" spans="1:17" ht="11.25" customHeight="1">
      <c r="A9" s="1319" t="s">
        <v>234</v>
      </c>
      <c r="B9" s="1320"/>
      <c r="C9" s="1320"/>
      <c r="D9" s="1320"/>
      <c r="E9" s="1320"/>
      <c r="F9" s="880">
        <v>2</v>
      </c>
      <c r="G9" s="881">
        <v>10</v>
      </c>
      <c r="J9" s="91">
        <v>102</v>
      </c>
      <c r="K9" s="56">
        <f>G116</f>
        <v>32319.162079999998</v>
      </c>
    </row>
    <row r="10" spans="1:17" ht="11.25" customHeight="1">
      <c r="A10" s="882"/>
      <c r="B10" s="882"/>
      <c r="C10" s="882"/>
      <c r="D10" s="882"/>
      <c r="E10" s="882"/>
      <c r="F10" s="883"/>
      <c r="G10" s="883"/>
      <c r="J10" s="91">
        <v>103</v>
      </c>
      <c r="K10" s="56">
        <f>G117</f>
        <v>80532.984200000006</v>
      </c>
    </row>
    <row r="11" spans="1:17">
      <c r="A11" s="76" t="s">
        <v>236</v>
      </c>
      <c r="B11" s="76"/>
      <c r="C11" s="76"/>
      <c r="D11" s="76"/>
      <c r="E11" s="76"/>
      <c r="F11" s="54" t="s">
        <v>237</v>
      </c>
      <c r="G11" s="55">
        <v>646552352.67270005</v>
      </c>
      <c r="J11" s="91">
        <v>104</v>
      </c>
      <c r="K11" s="56">
        <f>G118+G130</f>
        <v>24669428.7205</v>
      </c>
    </row>
    <row r="12" spans="1:17">
      <c r="B12" s="78" t="s">
        <v>238</v>
      </c>
      <c r="F12" s="79" t="s">
        <v>239</v>
      </c>
      <c r="G12" s="56">
        <v>3850487.9859000002</v>
      </c>
    </row>
    <row r="13" spans="1:17">
      <c r="C13" s="78" t="s">
        <v>322</v>
      </c>
      <c r="F13" s="885" t="s">
        <v>323</v>
      </c>
      <c r="G13" s="56">
        <v>2794400.0362999998</v>
      </c>
    </row>
    <row r="14" spans="1:17" ht="42">
      <c r="D14" s="78" t="s">
        <v>285</v>
      </c>
      <c r="F14" s="79" t="s">
        <v>324</v>
      </c>
      <c r="G14" s="56">
        <v>2794400.0362999998</v>
      </c>
    </row>
    <row r="15" spans="1:17">
      <c r="E15" s="78" t="s">
        <v>261</v>
      </c>
      <c r="F15" s="79" t="s">
        <v>325</v>
      </c>
      <c r="G15" s="56">
        <v>234680.97798</v>
      </c>
    </row>
    <row r="16" spans="1:17" ht="18" customHeight="1">
      <c r="E16" s="78" t="s">
        <v>326</v>
      </c>
      <c r="F16" s="79" t="s">
        <v>327</v>
      </c>
      <c r="G16" s="56">
        <v>2559719.0583000001</v>
      </c>
      <c r="J16" s="69"/>
      <c r="K16" s="69"/>
      <c r="L16" s="200" t="s">
        <v>8</v>
      </c>
      <c r="M16" s="200" t="s">
        <v>9</v>
      </c>
    </row>
    <row r="17" spans="2:14" ht="18" customHeight="1">
      <c r="C17" s="78" t="s">
        <v>328</v>
      </c>
      <c r="F17" s="886" t="s">
        <v>329</v>
      </c>
      <c r="G17" s="56">
        <v>1056087.9495999999</v>
      </c>
      <c r="J17" s="69"/>
      <c r="K17" s="69"/>
      <c r="L17" s="201" t="s">
        <v>11</v>
      </c>
      <c r="M17" s="201" t="s">
        <v>12</v>
      </c>
    </row>
    <row r="18" spans="2:14" ht="18" customHeight="1">
      <c r="D18" s="78" t="s">
        <v>285</v>
      </c>
      <c r="F18" s="79" t="s">
        <v>330</v>
      </c>
      <c r="G18" s="56">
        <v>1056087.9495999999</v>
      </c>
      <c r="J18" s="202" t="s">
        <v>25</v>
      </c>
      <c r="K18" s="203" t="s">
        <v>26</v>
      </c>
      <c r="L18" s="893">
        <f>SUM(L19:L24)</f>
        <v>421478300.20783716</v>
      </c>
      <c r="M18" s="893">
        <f>SUM(M19:M24)</f>
        <v>223518360.87522295</v>
      </c>
      <c r="N18" s="56">
        <f>L18+M18</f>
        <v>644996661.08306015</v>
      </c>
    </row>
    <row r="19" spans="2:14" ht="18" customHeight="1">
      <c r="E19" s="78" t="s">
        <v>326</v>
      </c>
      <c r="F19" s="79" t="s">
        <v>327</v>
      </c>
      <c r="G19" s="56">
        <v>1056087.9496500001</v>
      </c>
      <c r="J19" s="204" t="s">
        <v>27</v>
      </c>
      <c r="K19" s="205" t="s">
        <v>28</v>
      </c>
      <c r="L19" s="893">
        <f>P4</f>
        <v>407495804.64872712</v>
      </c>
      <c r="M19" s="893">
        <f>P3</f>
        <v>207357865.37747297</v>
      </c>
    </row>
    <row r="20" spans="2:14" ht="18" customHeight="1">
      <c r="B20" s="78" t="s">
        <v>243</v>
      </c>
      <c r="F20" s="79" t="s">
        <v>244</v>
      </c>
      <c r="G20" s="56">
        <v>45008823.436399996</v>
      </c>
      <c r="J20" s="204" t="s">
        <v>29</v>
      </c>
      <c r="K20" s="206" t="s">
        <v>30</v>
      </c>
      <c r="L20" s="893"/>
      <c r="M20" s="893"/>
    </row>
    <row r="21" spans="2:14" ht="18" customHeight="1">
      <c r="C21" s="78" t="s">
        <v>322</v>
      </c>
      <c r="F21" s="885" t="s">
        <v>323</v>
      </c>
      <c r="G21" s="56">
        <v>13982738.4212</v>
      </c>
      <c r="J21" s="204" t="s">
        <v>31</v>
      </c>
      <c r="K21" s="207" t="s">
        <v>32</v>
      </c>
      <c r="L21" s="893">
        <f>G35+G59+G189</f>
        <v>7001837.8270800002</v>
      </c>
      <c r="M21" s="893">
        <f>G40+G57+G60+G190+G36</f>
        <v>15394876.24739</v>
      </c>
    </row>
    <row r="22" spans="2:14" ht="18" customHeight="1">
      <c r="D22" s="78" t="s">
        <v>318</v>
      </c>
      <c r="F22" s="79" t="s">
        <v>331</v>
      </c>
      <c r="G22" s="56">
        <v>9083353.0788000003</v>
      </c>
      <c r="J22" s="204" t="s">
        <v>33</v>
      </c>
      <c r="K22" s="207" t="s">
        <v>34</v>
      </c>
      <c r="L22" s="893">
        <f>G39+G193</f>
        <v>1424733.8105299999</v>
      </c>
      <c r="M22" s="893">
        <f>G40+G194</f>
        <v>647811.99115999998</v>
      </c>
    </row>
    <row r="23" spans="2:14" ht="18" customHeight="1">
      <c r="E23" s="78" t="s">
        <v>261</v>
      </c>
      <c r="F23" s="79" t="s">
        <v>325</v>
      </c>
      <c r="G23" s="56">
        <v>833171.40020000003</v>
      </c>
      <c r="J23" s="204" t="s">
        <v>212</v>
      </c>
      <c r="K23" s="208" t="s">
        <v>5</v>
      </c>
      <c r="L23" s="893">
        <f>G43+G197</f>
        <v>5555923.9215000002</v>
      </c>
      <c r="M23" s="893">
        <f>G198</f>
        <v>114692.8805</v>
      </c>
    </row>
    <row r="24" spans="2:14" ht="18" customHeight="1">
      <c r="E24" s="78" t="s">
        <v>326</v>
      </c>
      <c r="F24" s="79" t="s">
        <v>327</v>
      </c>
      <c r="G24" s="56">
        <v>8250181.6786000002</v>
      </c>
      <c r="J24" s="204" t="s">
        <v>213</v>
      </c>
      <c r="K24" s="209" t="s">
        <v>47</v>
      </c>
      <c r="L24" s="893"/>
      <c r="M24" s="893">
        <f>G157</f>
        <v>3114.3787000000002</v>
      </c>
    </row>
    <row r="25" spans="2:14">
      <c r="D25" s="78" t="s">
        <v>332</v>
      </c>
      <c r="F25" s="79" t="s">
        <v>333</v>
      </c>
      <c r="G25" s="56">
        <v>3123404.8505000002</v>
      </c>
    </row>
    <row r="26" spans="2:14">
      <c r="E26" s="78" t="s">
        <v>261</v>
      </c>
      <c r="F26" s="79" t="s">
        <v>325</v>
      </c>
      <c r="G26" s="56">
        <v>479936.3751</v>
      </c>
    </row>
    <row r="27" spans="2:14">
      <c r="E27" s="78" t="s">
        <v>326</v>
      </c>
      <c r="F27" s="79" t="s">
        <v>327</v>
      </c>
      <c r="G27" s="56">
        <v>2643468.4755000002</v>
      </c>
    </row>
    <row r="28" spans="2:14">
      <c r="D28" s="78" t="s">
        <v>334</v>
      </c>
      <c r="F28" s="79" t="s">
        <v>270</v>
      </c>
      <c r="G28" s="56">
        <v>1767882.6577999999</v>
      </c>
    </row>
    <row r="29" spans="2:14">
      <c r="E29" s="78" t="s">
        <v>261</v>
      </c>
      <c r="F29" s="79" t="s">
        <v>325</v>
      </c>
      <c r="G29" s="56">
        <v>89628.648799999995</v>
      </c>
    </row>
    <row r="30" spans="2:14">
      <c r="E30" s="78" t="s">
        <v>326</v>
      </c>
      <c r="F30" s="79" t="s">
        <v>327</v>
      </c>
      <c r="G30" s="56">
        <v>1678254.0088</v>
      </c>
    </row>
    <row r="31" spans="2:14">
      <c r="D31" s="78" t="s">
        <v>301</v>
      </c>
      <c r="F31" s="79" t="s">
        <v>336</v>
      </c>
      <c r="G31" s="56">
        <v>8097.8339999999998</v>
      </c>
    </row>
    <row r="32" spans="2:14">
      <c r="E32" s="78" t="s">
        <v>326</v>
      </c>
      <c r="F32" s="79" t="s">
        <v>562</v>
      </c>
      <c r="G32" s="56">
        <v>8097.8339999999998</v>
      </c>
    </row>
    <row r="33" spans="3:7">
      <c r="C33" s="78" t="s">
        <v>396</v>
      </c>
      <c r="F33" s="889" t="s">
        <v>397</v>
      </c>
      <c r="G33" s="56">
        <v>14171647.928400001</v>
      </c>
    </row>
    <row r="34" spans="3:7">
      <c r="D34" s="78" t="s">
        <v>358</v>
      </c>
      <c r="F34" s="79" t="s">
        <v>292</v>
      </c>
      <c r="G34" s="56">
        <v>14171647.928400001</v>
      </c>
    </row>
    <row r="35" spans="3:7">
      <c r="E35" s="78" t="s">
        <v>261</v>
      </c>
      <c r="F35" s="79" t="s">
        <v>325</v>
      </c>
      <c r="G35" s="56">
        <v>5145118.8365500001</v>
      </c>
    </row>
    <row r="36" spans="3:7">
      <c r="E36" s="78" t="s">
        <v>326</v>
      </c>
      <c r="F36" s="79" t="s">
        <v>327</v>
      </c>
      <c r="G36" s="56">
        <v>9026529.0918000005</v>
      </c>
    </row>
    <row r="37" spans="3:7">
      <c r="C37" s="78" t="s">
        <v>399</v>
      </c>
      <c r="F37" s="890" t="s">
        <v>4</v>
      </c>
      <c r="G37" s="56">
        <v>1835074.5811999999</v>
      </c>
    </row>
    <row r="38" spans="3:7">
      <c r="D38" s="78" t="s">
        <v>297</v>
      </c>
      <c r="F38" s="79" t="s">
        <v>292</v>
      </c>
      <c r="G38" s="56">
        <v>1835074.5811999999</v>
      </c>
    </row>
    <row r="39" spans="3:7">
      <c r="E39" s="78" t="s">
        <v>261</v>
      </c>
      <c r="F39" s="79" t="s">
        <v>325</v>
      </c>
      <c r="G39" s="56">
        <v>1241611</v>
      </c>
    </row>
    <row r="40" spans="3:7">
      <c r="E40" s="78" t="s">
        <v>326</v>
      </c>
      <c r="F40" s="79" t="s">
        <v>327</v>
      </c>
      <c r="G40" s="56">
        <v>593463.58115999994</v>
      </c>
    </row>
    <row r="41" spans="3:7">
      <c r="C41" s="78" t="s">
        <v>400</v>
      </c>
      <c r="F41" s="891" t="s">
        <v>5</v>
      </c>
      <c r="G41" s="56">
        <v>6795501.2418</v>
      </c>
    </row>
    <row r="42" spans="3:7">
      <c r="D42" s="78" t="s">
        <v>358</v>
      </c>
      <c r="F42" s="79" t="s">
        <v>292</v>
      </c>
      <c r="G42" s="56">
        <v>6795501.2418</v>
      </c>
    </row>
    <row r="43" spans="3:7">
      <c r="E43" s="78" t="s">
        <v>261</v>
      </c>
      <c r="F43" s="79" t="s">
        <v>325</v>
      </c>
      <c r="G43" s="56">
        <v>5504475</v>
      </c>
    </row>
    <row r="44" spans="3:7">
      <c r="E44" s="78" t="s">
        <v>326</v>
      </c>
      <c r="F44" s="79" t="s">
        <v>327</v>
      </c>
      <c r="G44" s="56">
        <v>1291026.2418</v>
      </c>
    </row>
    <row r="45" spans="3:7">
      <c r="C45" s="78" t="s">
        <v>328</v>
      </c>
      <c r="F45" s="886" t="s">
        <v>329</v>
      </c>
      <c r="G45" s="56">
        <v>2792788.4134999998</v>
      </c>
    </row>
    <row r="46" spans="3:7" ht="21">
      <c r="D46" s="78" t="s">
        <v>318</v>
      </c>
      <c r="F46" s="79" t="s">
        <v>331</v>
      </c>
      <c r="G46" s="56">
        <v>1797367.875</v>
      </c>
    </row>
    <row r="47" spans="3:7">
      <c r="E47" s="78" t="s">
        <v>326</v>
      </c>
      <c r="F47" s="79" t="s">
        <v>327</v>
      </c>
      <c r="G47" s="56">
        <v>1797367.8750100001</v>
      </c>
    </row>
    <row r="48" spans="3:7">
      <c r="D48" s="78" t="s">
        <v>332</v>
      </c>
      <c r="F48" s="79" t="s">
        <v>333</v>
      </c>
      <c r="G48" s="56">
        <v>593361.48670000001</v>
      </c>
    </row>
    <row r="49" spans="2:7">
      <c r="E49" s="78" t="s">
        <v>261</v>
      </c>
      <c r="F49" s="79" t="s">
        <v>325</v>
      </c>
      <c r="G49" s="56">
        <v>110319</v>
      </c>
    </row>
    <row r="50" spans="2:7">
      <c r="E50" s="78" t="s">
        <v>326</v>
      </c>
      <c r="F50" s="79" t="s">
        <v>327</v>
      </c>
      <c r="G50" s="56">
        <v>483042.4866</v>
      </c>
    </row>
    <row r="51" spans="2:7">
      <c r="D51" s="78" t="s">
        <v>334</v>
      </c>
      <c r="F51" s="79" t="s">
        <v>270</v>
      </c>
      <c r="G51" s="56">
        <v>400724.98180000001</v>
      </c>
    </row>
    <row r="52" spans="2:7">
      <c r="E52" s="78" t="s">
        <v>261</v>
      </c>
      <c r="F52" s="79" t="s">
        <v>325</v>
      </c>
      <c r="G52" s="56">
        <v>10814</v>
      </c>
    </row>
    <row r="53" spans="2:7">
      <c r="E53" s="78" t="s">
        <v>326</v>
      </c>
      <c r="F53" s="79" t="s">
        <v>327</v>
      </c>
      <c r="G53" s="56">
        <v>389910.98181999999</v>
      </c>
    </row>
    <row r="54" spans="2:7">
      <c r="D54" s="78" t="s">
        <v>301</v>
      </c>
      <c r="F54" s="79" t="s">
        <v>336</v>
      </c>
      <c r="G54" s="56">
        <v>1334.07</v>
      </c>
    </row>
    <row r="55" spans="2:7">
      <c r="C55" s="78" t="s">
        <v>403</v>
      </c>
      <c r="F55" s="889" t="s">
        <v>404</v>
      </c>
      <c r="G55" s="56">
        <v>5431072.8503999999</v>
      </c>
    </row>
    <row r="56" spans="2:7">
      <c r="D56" s="78" t="s">
        <v>253</v>
      </c>
      <c r="F56" s="79" t="s">
        <v>405</v>
      </c>
      <c r="G56" s="56">
        <v>6000</v>
      </c>
    </row>
    <row r="57" spans="2:7">
      <c r="E57" s="78" t="s">
        <v>326</v>
      </c>
      <c r="F57" s="79" t="s">
        <v>327</v>
      </c>
      <c r="G57" s="56">
        <v>6000</v>
      </c>
    </row>
    <row r="58" spans="2:7">
      <c r="D58" s="78" t="s">
        <v>358</v>
      </c>
      <c r="F58" s="79" t="s">
        <v>292</v>
      </c>
      <c r="G58" s="56">
        <v>5425072.8503999999</v>
      </c>
    </row>
    <row r="59" spans="2:7">
      <c r="E59" s="78" t="s">
        <v>261</v>
      </c>
      <c r="F59" s="79" t="s">
        <v>325</v>
      </c>
      <c r="G59" s="56">
        <v>799201</v>
      </c>
    </row>
    <row r="60" spans="2:7">
      <c r="E60" s="78" t="s">
        <v>326</v>
      </c>
      <c r="F60" s="79" t="s">
        <v>327</v>
      </c>
      <c r="G60" s="56">
        <v>4625871.8504299996</v>
      </c>
    </row>
    <row r="61" spans="2:7">
      <c r="B61" s="78" t="s">
        <v>337</v>
      </c>
      <c r="F61" s="79" t="s">
        <v>338</v>
      </c>
      <c r="G61" s="56">
        <v>189831168.4727</v>
      </c>
    </row>
    <row r="62" spans="2:7">
      <c r="C62" s="78" t="s">
        <v>322</v>
      </c>
      <c r="F62" s="885" t="s">
        <v>323</v>
      </c>
      <c r="G62" s="56">
        <v>156510901.5018</v>
      </c>
    </row>
    <row r="63" spans="2:7" ht="31.5">
      <c r="D63" s="78" t="s">
        <v>253</v>
      </c>
      <c r="F63" s="79" t="s">
        <v>339</v>
      </c>
      <c r="G63" s="56">
        <v>69558341.576000005</v>
      </c>
    </row>
    <row r="64" spans="2:7">
      <c r="E64" s="78" t="s">
        <v>261</v>
      </c>
      <c r="F64" s="79" t="s">
        <v>325</v>
      </c>
      <c r="G64" s="56">
        <v>11267162.0057</v>
      </c>
    </row>
    <row r="65" spans="4:7">
      <c r="E65" s="78" t="s">
        <v>326</v>
      </c>
      <c r="F65" s="79" t="s">
        <v>327</v>
      </c>
      <c r="G65" s="56">
        <v>58291179.570299998</v>
      </c>
    </row>
    <row r="66" spans="4:7">
      <c r="D66" s="78" t="s">
        <v>249</v>
      </c>
      <c r="F66" s="79" t="s">
        <v>340</v>
      </c>
      <c r="G66" s="56">
        <v>5386847.5853000004</v>
      </c>
    </row>
    <row r="67" spans="4:7">
      <c r="E67" s="78" t="s">
        <v>261</v>
      </c>
      <c r="F67" s="79" t="s">
        <v>325</v>
      </c>
      <c r="G67" s="56">
        <v>5386847.5853000004</v>
      </c>
    </row>
    <row r="68" spans="4:7">
      <c r="D68" s="78" t="s">
        <v>303</v>
      </c>
      <c r="F68" s="79" t="s">
        <v>341</v>
      </c>
      <c r="G68" s="56">
        <v>8426345.9285000004</v>
      </c>
    </row>
    <row r="69" spans="4:7">
      <c r="E69" s="78" t="s">
        <v>261</v>
      </c>
      <c r="F69" s="79" t="s">
        <v>325</v>
      </c>
      <c r="G69" s="56">
        <v>7003792.9993000003</v>
      </c>
    </row>
    <row r="70" spans="4:7">
      <c r="E70" s="78" t="s">
        <v>326</v>
      </c>
      <c r="F70" s="79" t="s">
        <v>327</v>
      </c>
      <c r="G70" s="56">
        <v>1422552.9291999999</v>
      </c>
    </row>
    <row r="71" spans="4:7">
      <c r="D71" s="78" t="s">
        <v>307</v>
      </c>
      <c r="F71" s="79" t="s">
        <v>342</v>
      </c>
      <c r="G71" s="56">
        <v>3358874.2862999998</v>
      </c>
    </row>
    <row r="72" spans="4:7">
      <c r="E72" s="78" t="s">
        <v>261</v>
      </c>
      <c r="F72" s="79" t="s">
        <v>325</v>
      </c>
      <c r="G72" s="56">
        <v>3344296.0247</v>
      </c>
    </row>
    <row r="73" spans="4:7">
      <c r="E73" s="78" t="s">
        <v>326</v>
      </c>
      <c r="F73" s="79" t="s">
        <v>327</v>
      </c>
      <c r="G73" s="56">
        <v>14578.261630000001</v>
      </c>
    </row>
    <row r="74" spans="4:7" ht="31.5">
      <c r="D74" s="78" t="s">
        <v>309</v>
      </c>
      <c r="F74" s="79" t="s">
        <v>2482</v>
      </c>
      <c r="G74" s="56">
        <v>7885893.6908</v>
      </c>
    </row>
    <row r="75" spans="4:7">
      <c r="E75" s="78" t="s">
        <v>261</v>
      </c>
      <c r="F75" s="79" t="s">
        <v>325</v>
      </c>
      <c r="G75" s="56">
        <v>6854300.5179000003</v>
      </c>
    </row>
    <row r="76" spans="4:7">
      <c r="E76" s="78" t="s">
        <v>326</v>
      </c>
      <c r="F76" s="79" t="s">
        <v>327</v>
      </c>
      <c r="G76" s="56">
        <v>1031593.1727999999</v>
      </c>
    </row>
    <row r="77" spans="4:7">
      <c r="D77" s="78" t="s">
        <v>344</v>
      </c>
      <c r="F77" s="79" t="s">
        <v>345</v>
      </c>
      <c r="G77" s="56">
        <v>7573218.5294000003</v>
      </c>
    </row>
    <row r="78" spans="4:7">
      <c r="E78" s="78" t="s">
        <v>261</v>
      </c>
      <c r="F78" s="79" t="s">
        <v>325</v>
      </c>
      <c r="G78" s="56">
        <v>7535195.7297</v>
      </c>
    </row>
    <row r="79" spans="4:7">
      <c r="E79" s="78" t="s">
        <v>326</v>
      </c>
      <c r="F79" s="79" t="s">
        <v>327</v>
      </c>
      <c r="G79" s="56">
        <v>38022.799709999999</v>
      </c>
    </row>
    <row r="80" spans="4:7" ht="21">
      <c r="D80" s="78" t="s">
        <v>346</v>
      </c>
      <c r="F80" s="79" t="s">
        <v>347</v>
      </c>
      <c r="G80" s="56">
        <v>25427849.986400001</v>
      </c>
    </row>
    <row r="81" spans="3:7">
      <c r="E81" s="78" t="s">
        <v>261</v>
      </c>
      <c r="F81" s="79" t="s">
        <v>325</v>
      </c>
      <c r="G81" s="56">
        <v>22803057.194899999</v>
      </c>
    </row>
    <row r="82" spans="3:7">
      <c r="E82" s="78" t="s">
        <v>326</v>
      </c>
      <c r="F82" s="79" t="s">
        <v>327</v>
      </c>
      <c r="G82" s="56">
        <v>2624792.7916000001</v>
      </c>
    </row>
    <row r="83" spans="3:7">
      <c r="D83" s="78" t="s">
        <v>348</v>
      </c>
      <c r="F83" s="79" t="s">
        <v>349</v>
      </c>
      <c r="G83" s="56">
        <v>595192.77930000005</v>
      </c>
    </row>
    <row r="84" spans="3:7">
      <c r="E84" s="78" t="s">
        <v>261</v>
      </c>
      <c r="F84" s="79" t="s">
        <v>325</v>
      </c>
      <c r="G84" s="56">
        <v>595192.77930000005</v>
      </c>
    </row>
    <row r="85" spans="3:7" ht="21">
      <c r="D85" s="78" t="s">
        <v>350</v>
      </c>
      <c r="F85" s="79" t="s">
        <v>351</v>
      </c>
      <c r="G85" s="56">
        <v>28298337.139800001</v>
      </c>
    </row>
    <row r="86" spans="3:7">
      <c r="E86" s="78" t="s">
        <v>261</v>
      </c>
      <c r="F86" s="79" t="s">
        <v>325</v>
      </c>
      <c r="G86" s="56">
        <v>24748233.14181</v>
      </c>
    </row>
    <row r="87" spans="3:7">
      <c r="E87" s="78" t="s">
        <v>326</v>
      </c>
      <c r="F87" s="79" t="s">
        <v>327</v>
      </c>
      <c r="G87" s="56">
        <v>3550103.9980000001</v>
      </c>
    </row>
    <row r="88" spans="3:7">
      <c r="C88" s="78" t="s">
        <v>328</v>
      </c>
      <c r="F88" s="886" t="s">
        <v>329</v>
      </c>
      <c r="G88" s="56">
        <v>33320266.970899999</v>
      </c>
    </row>
    <row r="89" spans="3:7" ht="31.5">
      <c r="D89" s="78" t="s">
        <v>253</v>
      </c>
      <c r="F89" s="79" t="s">
        <v>339</v>
      </c>
      <c r="G89" s="56">
        <v>13197265.187100001</v>
      </c>
    </row>
    <row r="90" spans="3:7">
      <c r="E90" s="78" t="s">
        <v>261</v>
      </c>
      <c r="F90" s="79" t="s">
        <v>325</v>
      </c>
      <c r="G90" s="56">
        <v>1814063.6617000001</v>
      </c>
    </row>
    <row r="91" spans="3:7">
      <c r="E91" s="78" t="s">
        <v>326</v>
      </c>
      <c r="F91" s="79" t="s">
        <v>327</v>
      </c>
      <c r="G91" s="56">
        <v>11383201.525429999</v>
      </c>
    </row>
    <row r="92" spans="3:7">
      <c r="D92" s="78" t="s">
        <v>249</v>
      </c>
      <c r="F92" s="79" t="s">
        <v>340</v>
      </c>
      <c r="G92" s="56">
        <v>505069.52590000001</v>
      </c>
    </row>
    <row r="93" spans="3:7">
      <c r="E93" s="78" t="s">
        <v>261</v>
      </c>
      <c r="F93" s="79" t="s">
        <v>325</v>
      </c>
      <c r="G93" s="56">
        <v>505069.52594000002</v>
      </c>
    </row>
    <row r="94" spans="3:7">
      <c r="D94" s="78" t="s">
        <v>303</v>
      </c>
      <c r="F94" s="79" t="s">
        <v>341</v>
      </c>
      <c r="G94" s="56">
        <v>1642465.4785</v>
      </c>
    </row>
    <row r="95" spans="3:7">
      <c r="E95" s="78" t="s">
        <v>261</v>
      </c>
      <c r="F95" s="79" t="s">
        <v>325</v>
      </c>
      <c r="G95" s="56">
        <v>1642465.47847</v>
      </c>
    </row>
    <row r="96" spans="3:7">
      <c r="D96" s="78" t="s">
        <v>307</v>
      </c>
      <c r="F96" s="79" t="s">
        <v>342</v>
      </c>
      <c r="G96" s="56">
        <v>867422.19579999999</v>
      </c>
    </row>
    <row r="97" spans="2:7">
      <c r="E97" s="78" t="s">
        <v>261</v>
      </c>
      <c r="F97" s="79" t="s">
        <v>325</v>
      </c>
      <c r="G97" s="56">
        <v>867422.19579999999</v>
      </c>
    </row>
    <row r="98" spans="2:7" ht="31.5">
      <c r="D98" s="78" t="s">
        <v>309</v>
      </c>
      <c r="F98" s="79" t="s">
        <v>2482</v>
      </c>
      <c r="G98" s="56">
        <v>2034962.1044999999</v>
      </c>
    </row>
    <row r="99" spans="2:7">
      <c r="E99" s="78" t="s">
        <v>261</v>
      </c>
      <c r="F99" s="79" t="s">
        <v>325</v>
      </c>
      <c r="G99" s="56">
        <v>1605410.1052000001</v>
      </c>
    </row>
    <row r="100" spans="2:7">
      <c r="E100" s="78" t="s">
        <v>326</v>
      </c>
      <c r="F100" s="79" t="s">
        <v>327</v>
      </c>
      <c r="G100" s="56">
        <v>429551.99932</v>
      </c>
    </row>
    <row r="101" spans="2:7">
      <c r="D101" s="78" t="s">
        <v>344</v>
      </c>
      <c r="F101" s="79" t="s">
        <v>345</v>
      </c>
      <c r="G101" s="56">
        <v>2588072.8215999999</v>
      </c>
    </row>
    <row r="102" spans="2:7">
      <c r="E102" s="78" t="s">
        <v>261</v>
      </c>
      <c r="F102" s="79" t="s">
        <v>325</v>
      </c>
      <c r="G102" s="56">
        <v>2588072.82155</v>
      </c>
    </row>
    <row r="103" spans="2:7" ht="21">
      <c r="D103" s="78" t="s">
        <v>346</v>
      </c>
      <c r="F103" s="79" t="s">
        <v>347</v>
      </c>
      <c r="G103" s="56">
        <v>3955190.18</v>
      </c>
    </row>
    <row r="104" spans="2:7">
      <c r="E104" s="78" t="s">
        <v>261</v>
      </c>
      <c r="F104" s="79" t="s">
        <v>325</v>
      </c>
      <c r="G104" s="56">
        <v>3547493.7770199999</v>
      </c>
    </row>
    <row r="105" spans="2:7">
      <c r="E105" s="78" t="s">
        <v>326</v>
      </c>
      <c r="F105" s="79" t="s">
        <v>327</v>
      </c>
      <c r="G105" s="56">
        <v>407696.40299999999</v>
      </c>
    </row>
    <row r="106" spans="2:7">
      <c r="D106" s="78" t="s">
        <v>348</v>
      </c>
      <c r="F106" s="79" t="s">
        <v>349</v>
      </c>
      <c r="G106" s="56">
        <v>177627.03769999999</v>
      </c>
    </row>
    <row r="107" spans="2:7">
      <c r="E107" s="78" t="s">
        <v>261</v>
      </c>
      <c r="F107" s="79" t="s">
        <v>325</v>
      </c>
      <c r="G107" s="56">
        <v>177627.03768000001</v>
      </c>
    </row>
    <row r="108" spans="2:7" ht="21">
      <c r="D108" s="78" t="s">
        <v>350</v>
      </c>
      <c r="F108" s="79" t="s">
        <v>351</v>
      </c>
      <c r="G108" s="56">
        <v>8352192.4397999998</v>
      </c>
    </row>
    <row r="109" spans="2:7">
      <c r="E109" s="78" t="s">
        <v>261</v>
      </c>
      <c r="F109" s="79" t="s">
        <v>325</v>
      </c>
      <c r="G109" s="56">
        <v>7038225.4397999998</v>
      </c>
    </row>
    <row r="110" spans="2:7">
      <c r="E110" s="78" t="s">
        <v>326</v>
      </c>
      <c r="F110" s="79" t="s">
        <v>327</v>
      </c>
      <c r="G110" s="56">
        <v>1313967</v>
      </c>
    </row>
    <row r="111" spans="2:7">
      <c r="B111" s="78" t="s">
        <v>352</v>
      </c>
      <c r="F111" s="79" t="s">
        <v>353</v>
      </c>
      <c r="G111" s="56">
        <v>332613936.71450001</v>
      </c>
    </row>
    <row r="112" spans="2:7">
      <c r="C112" s="78" t="s">
        <v>322</v>
      </c>
      <c r="F112" s="885" t="s">
        <v>323</v>
      </c>
      <c r="G112" s="56">
        <v>294323779.38529998</v>
      </c>
    </row>
    <row r="113" spans="3:7" ht="21">
      <c r="D113" s="78" t="s">
        <v>289</v>
      </c>
      <c r="F113" s="79" t="s">
        <v>354</v>
      </c>
      <c r="G113" s="56">
        <v>21879029.396400001</v>
      </c>
    </row>
    <row r="114" spans="3:7">
      <c r="E114" s="78" t="s">
        <v>261</v>
      </c>
      <c r="F114" s="79" t="s">
        <v>325</v>
      </c>
      <c r="G114" s="56">
        <v>2127570.1611000001</v>
      </c>
    </row>
    <row r="115" spans="3:7" ht="21">
      <c r="E115" s="78" t="s">
        <v>259</v>
      </c>
      <c r="F115" s="79" t="s">
        <v>355</v>
      </c>
      <c r="G115" s="56">
        <v>86925.367970000007</v>
      </c>
    </row>
    <row r="116" spans="3:7">
      <c r="E116" s="78" t="s">
        <v>265</v>
      </c>
      <c r="F116" s="79" t="s">
        <v>356</v>
      </c>
      <c r="G116" s="56">
        <v>32319.162079999998</v>
      </c>
    </row>
    <row r="117" spans="3:7" ht="21">
      <c r="E117" s="78" t="s">
        <v>267</v>
      </c>
      <c r="F117" s="79" t="s">
        <v>357</v>
      </c>
      <c r="G117" s="56">
        <v>80532.984200000006</v>
      </c>
    </row>
    <row r="118" spans="3:7" ht="21">
      <c r="E118" s="78" t="s">
        <v>269</v>
      </c>
      <c r="F118" s="79" t="s">
        <v>354</v>
      </c>
      <c r="G118" s="56">
        <v>19551681.721099999</v>
      </c>
    </row>
    <row r="119" spans="3:7" ht="21">
      <c r="D119" s="78" t="s">
        <v>358</v>
      </c>
      <c r="F119" s="79" t="s">
        <v>359</v>
      </c>
      <c r="G119" s="56">
        <v>3337679.9260999998</v>
      </c>
    </row>
    <row r="120" spans="3:7">
      <c r="E120" s="78" t="s">
        <v>261</v>
      </c>
      <c r="F120" s="79" t="s">
        <v>325</v>
      </c>
      <c r="G120" s="56">
        <v>3337679.9260999998</v>
      </c>
    </row>
    <row r="121" spans="3:7" ht="31.5">
      <c r="D121" s="78" t="s">
        <v>291</v>
      </c>
      <c r="F121" s="79" t="s">
        <v>360</v>
      </c>
      <c r="G121" s="56">
        <v>259074454.67140001</v>
      </c>
    </row>
    <row r="122" spans="3:7">
      <c r="E122" s="78" t="s">
        <v>261</v>
      </c>
      <c r="F122" s="79" t="s">
        <v>325</v>
      </c>
      <c r="G122" s="56">
        <v>244377491.08090001</v>
      </c>
    </row>
    <row r="123" spans="3:7">
      <c r="E123" s="78" t="s">
        <v>326</v>
      </c>
      <c r="F123" s="79" t="s">
        <v>327</v>
      </c>
      <c r="G123" s="56">
        <v>14696963.590399999</v>
      </c>
    </row>
    <row r="124" spans="3:7" ht="21">
      <c r="D124" s="78" t="s">
        <v>361</v>
      </c>
      <c r="F124" s="79" t="s">
        <v>362</v>
      </c>
      <c r="G124" s="56">
        <v>10032615.3913</v>
      </c>
    </row>
    <row r="125" spans="3:7">
      <c r="E125" s="78" t="s">
        <v>261</v>
      </c>
      <c r="F125" s="79" t="s">
        <v>325</v>
      </c>
      <c r="G125" s="56">
        <v>5359422.1798</v>
      </c>
    </row>
    <row r="126" spans="3:7">
      <c r="E126" s="78" t="s">
        <v>326</v>
      </c>
      <c r="F126" s="79" t="s">
        <v>327</v>
      </c>
      <c r="G126" s="56">
        <v>4673193.2115000002</v>
      </c>
    </row>
    <row r="127" spans="3:7">
      <c r="C127" s="78" t="s">
        <v>328</v>
      </c>
      <c r="F127" s="886" t="s">
        <v>329</v>
      </c>
      <c r="G127" s="56">
        <v>38290157.3292</v>
      </c>
    </row>
    <row r="128" spans="3:7" ht="21">
      <c r="D128" s="78" t="s">
        <v>289</v>
      </c>
      <c r="F128" s="79" t="s">
        <v>354</v>
      </c>
      <c r="G128" s="56">
        <v>5206816.7024999997</v>
      </c>
    </row>
    <row r="129" spans="2:7" ht="21">
      <c r="E129" s="78" t="s">
        <v>259</v>
      </c>
      <c r="F129" s="79" t="s">
        <v>355</v>
      </c>
      <c r="G129" s="56">
        <v>89069.703139999998</v>
      </c>
    </row>
    <row r="130" spans="2:7" ht="21">
      <c r="E130" s="78" t="s">
        <v>269</v>
      </c>
      <c r="F130" s="79" t="s">
        <v>354</v>
      </c>
      <c r="G130" s="56">
        <v>5117746.9994000001</v>
      </c>
    </row>
    <row r="131" spans="2:7" ht="21">
      <c r="D131" s="78" t="s">
        <v>358</v>
      </c>
      <c r="F131" s="79" t="s">
        <v>359</v>
      </c>
      <c r="G131" s="56">
        <v>643904.32149999996</v>
      </c>
    </row>
    <row r="132" spans="2:7">
      <c r="E132" s="78" t="s">
        <v>261</v>
      </c>
      <c r="F132" s="79" t="s">
        <v>325</v>
      </c>
      <c r="G132" s="56">
        <v>643904.32154000003</v>
      </c>
    </row>
    <row r="133" spans="2:7" ht="31.5">
      <c r="D133" s="78" t="s">
        <v>291</v>
      </c>
      <c r="F133" s="79" t="s">
        <v>360</v>
      </c>
      <c r="G133" s="56">
        <v>29975880.311799999</v>
      </c>
    </row>
    <row r="134" spans="2:7">
      <c r="E134" s="78" t="s">
        <v>261</v>
      </c>
      <c r="F134" s="79" t="s">
        <v>325</v>
      </c>
      <c r="G134" s="56">
        <v>28966700.811930001</v>
      </c>
    </row>
    <row r="135" spans="2:7">
      <c r="E135" s="78" t="s">
        <v>326</v>
      </c>
      <c r="F135" s="79" t="s">
        <v>327</v>
      </c>
      <c r="G135" s="56">
        <v>1009179.49985</v>
      </c>
    </row>
    <row r="136" spans="2:7">
      <c r="D136" s="78" t="s">
        <v>2483</v>
      </c>
      <c r="F136" s="79" t="s">
        <v>2484</v>
      </c>
      <c r="G136" s="56">
        <v>0</v>
      </c>
    </row>
    <row r="137" spans="2:7" ht="21">
      <c r="D137" s="78" t="s">
        <v>361</v>
      </c>
      <c r="F137" s="79" t="s">
        <v>362</v>
      </c>
      <c r="G137" s="56">
        <v>2463555.9934</v>
      </c>
    </row>
    <row r="138" spans="2:7">
      <c r="E138" s="78" t="s">
        <v>261</v>
      </c>
      <c r="F138" s="79" t="s">
        <v>325</v>
      </c>
      <c r="G138" s="56">
        <v>1231757.9983099999</v>
      </c>
    </row>
    <row r="139" spans="2:7">
      <c r="E139" s="78" t="s">
        <v>326</v>
      </c>
      <c r="F139" s="79" t="s">
        <v>327</v>
      </c>
      <c r="G139" s="56">
        <v>1231797.99504</v>
      </c>
    </row>
    <row r="140" spans="2:7">
      <c r="B140" s="78" t="s">
        <v>363</v>
      </c>
      <c r="F140" s="79" t="s">
        <v>364</v>
      </c>
      <c r="G140" s="56">
        <v>28962809.7478</v>
      </c>
    </row>
    <row r="141" spans="2:7">
      <c r="C141" s="78" t="s">
        <v>322</v>
      </c>
      <c r="F141" s="885" t="s">
        <v>323</v>
      </c>
      <c r="G141" s="56">
        <v>18539101.781399999</v>
      </c>
    </row>
    <row r="142" spans="2:7" ht="31.5">
      <c r="D142" s="78" t="s">
        <v>261</v>
      </c>
      <c r="F142" s="79" t="s">
        <v>365</v>
      </c>
      <c r="G142" s="56">
        <v>17861879.595100001</v>
      </c>
    </row>
    <row r="143" spans="2:7">
      <c r="E143" s="78" t="s">
        <v>261</v>
      </c>
      <c r="F143" s="79" t="s">
        <v>2485</v>
      </c>
      <c r="G143" s="56">
        <v>3002961.7441199999</v>
      </c>
    </row>
    <row r="144" spans="2:7">
      <c r="E144" s="78" t="s">
        <v>326</v>
      </c>
      <c r="F144" s="79" t="s">
        <v>2486</v>
      </c>
      <c r="G144" s="56">
        <v>14858917.85101</v>
      </c>
    </row>
    <row r="145" spans="2:7">
      <c r="D145" s="78" t="s">
        <v>366</v>
      </c>
      <c r="F145" s="79" t="s">
        <v>367</v>
      </c>
      <c r="G145" s="56">
        <v>677222.1862</v>
      </c>
    </row>
    <row r="146" spans="2:7">
      <c r="E146" s="78" t="s">
        <v>261</v>
      </c>
      <c r="F146" s="79" t="s">
        <v>325</v>
      </c>
      <c r="G146" s="56">
        <v>112698.1367</v>
      </c>
    </row>
    <row r="147" spans="2:7">
      <c r="E147" s="78" t="s">
        <v>326</v>
      </c>
      <c r="F147" s="79" t="s">
        <v>327</v>
      </c>
      <c r="G147" s="56">
        <v>564524.04969999997</v>
      </c>
    </row>
    <row r="148" spans="2:7">
      <c r="C148" s="78" t="s">
        <v>328</v>
      </c>
      <c r="F148" s="886" t="s">
        <v>329</v>
      </c>
      <c r="G148" s="56">
        <v>10423707.966399999</v>
      </c>
    </row>
    <row r="149" spans="2:7" ht="21">
      <c r="D149" s="78" t="s">
        <v>261</v>
      </c>
      <c r="F149" s="79" t="s">
        <v>368</v>
      </c>
      <c r="G149" s="56">
        <v>10311512.2806</v>
      </c>
    </row>
    <row r="150" spans="2:7">
      <c r="E150" s="78" t="s">
        <v>326</v>
      </c>
      <c r="F150" s="79" t="s">
        <v>327</v>
      </c>
      <c r="G150" s="56">
        <v>10311512.2806</v>
      </c>
    </row>
    <row r="151" spans="2:7">
      <c r="D151" s="78" t="s">
        <v>366</v>
      </c>
      <c r="F151" s="79" t="s">
        <v>369</v>
      </c>
      <c r="G151" s="56">
        <v>112195.68580000001</v>
      </c>
    </row>
    <row r="152" spans="2:7">
      <c r="E152" s="78" t="s">
        <v>261</v>
      </c>
      <c r="F152" s="79" t="s">
        <v>325</v>
      </c>
      <c r="G152" s="56">
        <v>16872.999500000002</v>
      </c>
    </row>
    <row r="153" spans="2:7">
      <c r="E153" s="78" t="s">
        <v>326</v>
      </c>
      <c r="F153" s="79" t="s">
        <v>327</v>
      </c>
      <c r="G153" s="56">
        <v>95322.686300000001</v>
      </c>
    </row>
    <row r="154" spans="2:7">
      <c r="B154" s="78" t="s">
        <v>287</v>
      </c>
      <c r="F154" s="79" t="s">
        <v>288</v>
      </c>
      <c r="G154" s="56">
        <v>46285126.315399997</v>
      </c>
    </row>
    <row r="155" spans="2:7" ht="21">
      <c r="C155" s="78" t="s">
        <v>370</v>
      </c>
      <c r="F155" s="892" t="s">
        <v>371</v>
      </c>
      <c r="G155" s="56">
        <v>3114.3788</v>
      </c>
    </row>
    <row r="156" spans="2:7" ht="21">
      <c r="D156" s="78" t="s">
        <v>372</v>
      </c>
      <c r="F156" s="79" t="s">
        <v>373</v>
      </c>
      <c r="G156" s="56">
        <v>3114.3788</v>
      </c>
    </row>
    <row r="157" spans="2:7">
      <c r="E157" s="78" t="s">
        <v>326</v>
      </c>
      <c r="F157" s="79" t="s">
        <v>327</v>
      </c>
      <c r="G157" s="56">
        <v>3114.3787000000002</v>
      </c>
    </row>
    <row r="158" spans="2:7">
      <c r="C158" s="78" t="s">
        <v>322</v>
      </c>
      <c r="F158" s="885" t="s">
        <v>323</v>
      </c>
      <c r="G158" s="56">
        <v>30764162.192400001</v>
      </c>
    </row>
    <row r="159" spans="2:7" ht="21">
      <c r="D159" s="78" t="s">
        <v>374</v>
      </c>
      <c r="F159" s="79" t="s">
        <v>375</v>
      </c>
      <c r="G159" s="56">
        <v>1949984.5382000001</v>
      </c>
    </row>
    <row r="160" spans="2:7">
      <c r="E160" s="78" t="s">
        <v>261</v>
      </c>
      <c r="F160" s="79" t="s">
        <v>325</v>
      </c>
      <c r="G160" s="56">
        <v>260901.065</v>
      </c>
    </row>
    <row r="161" spans="4:7">
      <c r="E161" s="78" t="s">
        <v>326</v>
      </c>
      <c r="F161" s="79" t="s">
        <v>327</v>
      </c>
      <c r="G161" s="56">
        <v>1689083.4734</v>
      </c>
    </row>
    <row r="162" spans="4:7">
      <c r="D162" s="78" t="s">
        <v>241</v>
      </c>
      <c r="F162" s="79" t="s">
        <v>376</v>
      </c>
      <c r="G162" s="56">
        <v>5408007.2253</v>
      </c>
    </row>
    <row r="163" spans="4:7">
      <c r="E163" s="78" t="s">
        <v>261</v>
      </c>
      <c r="F163" s="79" t="s">
        <v>325</v>
      </c>
      <c r="G163" s="56">
        <v>2920265.9907</v>
      </c>
    </row>
    <row r="164" spans="4:7">
      <c r="E164" s="78" t="s">
        <v>326</v>
      </c>
      <c r="F164" s="79" t="s">
        <v>327</v>
      </c>
      <c r="G164" s="56">
        <v>2487741.2346000001</v>
      </c>
    </row>
    <row r="165" spans="4:7">
      <c r="D165" s="78" t="s">
        <v>297</v>
      </c>
      <c r="F165" s="79" t="s">
        <v>377</v>
      </c>
      <c r="G165" s="56">
        <v>970045.7683</v>
      </c>
    </row>
    <row r="166" spans="4:7">
      <c r="E166" s="78" t="s">
        <v>261</v>
      </c>
      <c r="F166" s="79" t="s">
        <v>325</v>
      </c>
      <c r="G166" s="56">
        <v>157043.04319999999</v>
      </c>
    </row>
    <row r="167" spans="4:7">
      <c r="E167" s="78" t="s">
        <v>326</v>
      </c>
      <c r="F167" s="79" t="s">
        <v>327</v>
      </c>
      <c r="G167" s="56">
        <v>813002.72510000004</v>
      </c>
    </row>
    <row r="168" spans="4:7" ht="21">
      <c r="D168" s="78" t="s">
        <v>299</v>
      </c>
      <c r="F168" s="79" t="s">
        <v>378</v>
      </c>
      <c r="G168" s="56">
        <v>414824.70059999998</v>
      </c>
    </row>
    <row r="169" spans="4:7">
      <c r="E169" s="78" t="s">
        <v>326</v>
      </c>
      <c r="F169" s="79" t="s">
        <v>327</v>
      </c>
      <c r="G169" s="56">
        <v>414824.70059999998</v>
      </c>
    </row>
    <row r="170" spans="4:7">
      <c r="D170" s="78" t="s">
        <v>279</v>
      </c>
      <c r="F170" s="79" t="s">
        <v>379</v>
      </c>
      <c r="G170" s="56">
        <v>797197.89</v>
      </c>
    </row>
    <row r="171" spans="4:7">
      <c r="E171" s="78" t="s">
        <v>261</v>
      </c>
      <c r="F171" s="79" t="s">
        <v>325</v>
      </c>
      <c r="G171" s="56">
        <v>12447</v>
      </c>
    </row>
    <row r="172" spans="4:7">
      <c r="E172" s="78" t="s">
        <v>326</v>
      </c>
      <c r="F172" s="79" t="s">
        <v>327</v>
      </c>
      <c r="G172" s="56">
        <v>784750.88997999998</v>
      </c>
    </row>
    <row r="173" spans="4:7" ht="21">
      <c r="D173" s="78" t="s">
        <v>311</v>
      </c>
      <c r="F173" s="79" t="s">
        <v>380</v>
      </c>
      <c r="G173" s="56">
        <v>137818</v>
      </c>
    </row>
    <row r="174" spans="4:7">
      <c r="E174" s="78" t="s">
        <v>326</v>
      </c>
      <c r="F174" s="79" t="s">
        <v>327</v>
      </c>
      <c r="G174" s="56">
        <v>137818</v>
      </c>
    </row>
    <row r="175" spans="4:7">
      <c r="D175" s="78" t="s">
        <v>381</v>
      </c>
      <c r="F175" s="79" t="s">
        <v>382</v>
      </c>
      <c r="G175" s="56">
        <v>168970.073</v>
      </c>
    </row>
    <row r="176" spans="4:7">
      <c r="E176" s="78" t="s">
        <v>261</v>
      </c>
      <c r="F176" s="79" t="s">
        <v>325</v>
      </c>
      <c r="G176" s="56">
        <v>70936</v>
      </c>
    </row>
    <row r="177" spans="3:7">
      <c r="E177" s="78" t="s">
        <v>326</v>
      </c>
      <c r="F177" s="79" t="s">
        <v>327</v>
      </c>
      <c r="G177" s="56">
        <v>98034.073000000004</v>
      </c>
    </row>
    <row r="178" spans="3:7">
      <c r="D178" s="78" t="s">
        <v>383</v>
      </c>
      <c r="F178" s="79" t="s">
        <v>384</v>
      </c>
      <c r="G178" s="56">
        <v>19093.442899999998</v>
      </c>
    </row>
    <row r="179" spans="3:7">
      <c r="E179" s="78" t="s">
        <v>326</v>
      </c>
      <c r="F179" s="79" t="s">
        <v>327</v>
      </c>
      <c r="G179" s="56">
        <v>19093.442899999998</v>
      </c>
    </row>
    <row r="180" spans="3:7">
      <c r="D180" s="78" t="s">
        <v>385</v>
      </c>
      <c r="F180" s="79" t="s">
        <v>1488</v>
      </c>
      <c r="G180" s="56">
        <v>20613892.976599999</v>
      </c>
    </row>
    <row r="181" spans="3:7">
      <c r="E181" s="78" t="s">
        <v>261</v>
      </c>
      <c r="F181" s="79" t="s">
        <v>325</v>
      </c>
      <c r="G181" s="56">
        <v>3286442.1124999998</v>
      </c>
    </row>
    <row r="182" spans="3:7">
      <c r="E182" s="78" t="s">
        <v>326</v>
      </c>
      <c r="F182" s="79" t="s">
        <v>327</v>
      </c>
      <c r="G182" s="56">
        <v>17327450.864</v>
      </c>
    </row>
    <row r="183" spans="3:7" ht="21">
      <c r="D183" s="78" t="s">
        <v>386</v>
      </c>
      <c r="F183" s="79" t="s">
        <v>387</v>
      </c>
      <c r="G183" s="56">
        <v>30000</v>
      </c>
    </row>
    <row r="184" spans="3:7" ht="31.5">
      <c r="D184" s="78" t="s">
        <v>388</v>
      </c>
      <c r="F184" s="79" t="s">
        <v>389</v>
      </c>
      <c r="G184" s="56">
        <v>47539.19</v>
      </c>
    </row>
    <row r="185" spans="3:7" ht="52.5">
      <c r="D185" s="78" t="s">
        <v>392</v>
      </c>
      <c r="F185" s="79" t="s">
        <v>2489</v>
      </c>
      <c r="G185" s="56">
        <v>177774.26430000001</v>
      </c>
    </row>
    <row r="186" spans="3:7" ht="21">
      <c r="D186" s="78" t="s">
        <v>2490</v>
      </c>
      <c r="F186" s="79" t="s">
        <v>2491</v>
      </c>
      <c r="G186" s="56">
        <v>29014.123100000001</v>
      </c>
    </row>
    <row r="187" spans="3:7">
      <c r="C187" s="78" t="s">
        <v>396</v>
      </c>
      <c r="F187" s="889" t="s">
        <v>397</v>
      </c>
      <c r="G187" s="56">
        <v>2200529.7144999998</v>
      </c>
    </row>
    <row r="188" spans="3:7" ht="31.5">
      <c r="D188" s="78" t="s">
        <v>398</v>
      </c>
      <c r="F188" s="79" t="s">
        <v>1489</v>
      </c>
      <c r="G188" s="56">
        <v>2200529.7144999998</v>
      </c>
    </row>
    <row r="189" spans="3:7">
      <c r="E189" s="78" t="s">
        <v>261</v>
      </c>
      <c r="F189" s="79" t="s">
        <v>325</v>
      </c>
      <c r="G189" s="56">
        <v>1057517.9905300001</v>
      </c>
    </row>
    <row r="190" spans="3:7">
      <c r="E190" s="78" t="s">
        <v>326</v>
      </c>
      <c r="F190" s="79" t="s">
        <v>327</v>
      </c>
      <c r="G190" s="56">
        <v>1143011.7239999999</v>
      </c>
    </row>
    <row r="191" spans="3:7">
      <c r="C191" s="78" t="s">
        <v>399</v>
      </c>
      <c r="F191" s="890" t="s">
        <v>4</v>
      </c>
      <c r="G191" s="56">
        <v>237471.2205</v>
      </c>
    </row>
    <row r="192" spans="3:7" ht="31.5">
      <c r="D192" s="78" t="s">
        <v>398</v>
      </c>
      <c r="F192" s="79" t="s">
        <v>1489</v>
      </c>
      <c r="G192" s="56">
        <v>237471.2205</v>
      </c>
    </row>
    <row r="193" spans="3:7">
      <c r="E193" s="78" t="s">
        <v>261</v>
      </c>
      <c r="F193" s="79" t="s">
        <v>325</v>
      </c>
      <c r="G193" s="56">
        <v>183122.81052999999</v>
      </c>
    </row>
    <row r="194" spans="3:7">
      <c r="E194" s="78" t="s">
        <v>326</v>
      </c>
      <c r="F194" s="79" t="s">
        <v>327</v>
      </c>
      <c r="G194" s="56">
        <v>54348.41</v>
      </c>
    </row>
    <row r="195" spans="3:7">
      <c r="C195" s="78" t="s">
        <v>400</v>
      </c>
      <c r="F195" s="891" t="s">
        <v>5</v>
      </c>
      <c r="G195" s="56">
        <v>1024270.7309</v>
      </c>
    </row>
    <row r="196" spans="3:7" ht="31.5">
      <c r="D196" s="78" t="s">
        <v>398</v>
      </c>
      <c r="F196" s="79" t="s">
        <v>1489</v>
      </c>
      <c r="G196" s="56">
        <v>1024270.7309</v>
      </c>
    </row>
    <row r="197" spans="3:7">
      <c r="E197" s="78" t="s">
        <v>261</v>
      </c>
      <c r="F197" s="79" t="s">
        <v>325</v>
      </c>
      <c r="G197" s="56">
        <v>51448.921499999997</v>
      </c>
    </row>
    <row r="198" spans="3:7">
      <c r="E198" s="78" t="s">
        <v>326</v>
      </c>
      <c r="F198" s="79" t="s">
        <v>327</v>
      </c>
      <c r="G198" s="56">
        <v>114692.8805</v>
      </c>
    </row>
    <row r="199" spans="3:7">
      <c r="E199" s="78" t="s">
        <v>2492</v>
      </c>
      <c r="F199" s="79" t="s">
        <v>2493</v>
      </c>
      <c r="G199" s="56">
        <v>858128.92894000001</v>
      </c>
    </row>
    <row r="200" spans="3:7">
      <c r="C200" s="78" t="s">
        <v>328</v>
      </c>
      <c r="F200" s="886" t="s">
        <v>329</v>
      </c>
      <c r="G200" s="56">
        <v>12055578.078199999</v>
      </c>
    </row>
    <row r="201" spans="3:7" ht="21">
      <c r="D201" s="78" t="s">
        <v>374</v>
      </c>
      <c r="F201" s="79" t="s">
        <v>375</v>
      </c>
      <c r="G201" s="56">
        <v>266641.14250000002</v>
      </c>
    </row>
    <row r="202" spans="3:7">
      <c r="E202" s="78" t="s">
        <v>261</v>
      </c>
      <c r="F202" s="79" t="s">
        <v>325</v>
      </c>
      <c r="G202" s="56">
        <v>27114.0553</v>
      </c>
    </row>
    <row r="203" spans="3:7">
      <c r="E203" s="78" t="s">
        <v>326</v>
      </c>
      <c r="F203" s="79" t="s">
        <v>327</v>
      </c>
      <c r="G203" s="56">
        <v>239527.0871</v>
      </c>
    </row>
    <row r="204" spans="3:7">
      <c r="D204" s="78" t="s">
        <v>241</v>
      </c>
      <c r="F204" s="79" t="s">
        <v>376</v>
      </c>
      <c r="G204" s="56">
        <v>461652.6091</v>
      </c>
    </row>
    <row r="205" spans="3:7">
      <c r="E205" s="78" t="s">
        <v>261</v>
      </c>
      <c r="F205" s="79" t="s">
        <v>325</v>
      </c>
      <c r="G205" s="56">
        <v>132031.30910000001</v>
      </c>
    </row>
    <row r="206" spans="3:7">
      <c r="E206" s="78" t="s">
        <v>326</v>
      </c>
      <c r="F206" s="79" t="s">
        <v>327</v>
      </c>
      <c r="G206" s="56">
        <v>329621.3</v>
      </c>
    </row>
    <row r="207" spans="3:7">
      <c r="D207" s="78" t="s">
        <v>297</v>
      </c>
      <c r="F207" s="79" t="s">
        <v>377</v>
      </c>
      <c r="G207" s="56">
        <v>619403.72759999998</v>
      </c>
    </row>
    <row r="208" spans="3:7">
      <c r="E208" s="78" t="s">
        <v>261</v>
      </c>
      <c r="F208" s="79" t="s">
        <v>325</v>
      </c>
      <c r="G208" s="56">
        <v>41240</v>
      </c>
    </row>
    <row r="209" spans="4:7">
      <c r="E209" s="78" t="s">
        <v>326</v>
      </c>
      <c r="F209" s="79" t="s">
        <v>327</v>
      </c>
      <c r="G209" s="56">
        <v>578163.72760999994</v>
      </c>
    </row>
    <row r="210" spans="4:7" ht="21">
      <c r="D210" s="78" t="s">
        <v>299</v>
      </c>
      <c r="F210" s="79" t="s">
        <v>378</v>
      </c>
      <c r="G210" s="56">
        <v>6742.8469999999998</v>
      </c>
    </row>
    <row r="211" spans="4:7">
      <c r="D211" s="78" t="s">
        <v>279</v>
      </c>
      <c r="F211" s="79" t="s">
        <v>379</v>
      </c>
      <c r="G211" s="56">
        <v>177488.99979999999</v>
      </c>
    </row>
    <row r="212" spans="4:7">
      <c r="E212" s="78" t="s">
        <v>326</v>
      </c>
      <c r="F212" s="79" t="s">
        <v>327</v>
      </c>
      <c r="G212" s="56">
        <v>177488.99984</v>
      </c>
    </row>
    <row r="213" spans="4:7">
      <c r="D213" s="78" t="s">
        <v>381</v>
      </c>
      <c r="F213" s="79" t="s">
        <v>382</v>
      </c>
      <c r="G213" s="56">
        <v>688441</v>
      </c>
    </row>
    <row r="214" spans="4:7">
      <c r="E214" s="78" t="s">
        <v>261</v>
      </c>
      <c r="F214" s="79" t="s">
        <v>325</v>
      </c>
      <c r="G214" s="56">
        <v>19261</v>
      </c>
    </row>
    <row r="215" spans="4:7">
      <c r="E215" s="78" t="s">
        <v>326</v>
      </c>
      <c r="F215" s="79" t="s">
        <v>327</v>
      </c>
      <c r="G215" s="56">
        <v>669180</v>
      </c>
    </row>
    <row r="216" spans="4:7">
      <c r="D216" s="78" t="s">
        <v>383</v>
      </c>
      <c r="F216" s="79" t="s">
        <v>401</v>
      </c>
      <c r="G216" s="56">
        <v>891.99</v>
      </c>
    </row>
    <row r="217" spans="4:7">
      <c r="D217" s="78" t="s">
        <v>385</v>
      </c>
      <c r="F217" s="79" t="s">
        <v>402</v>
      </c>
      <c r="G217" s="56">
        <v>9733147.5620000008</v>
      </c>
    </row>
    <row r="218" spans="4:7">
      <c r="E218" s="78" t="s">
        <v>261</v>
      </c>
      <c r="F218" s="79" t="s">
        <v>325</v>
      </c>
      <c r="G218" s="56">
        <v>53097</v>
      </c>
    </row>
    <row r="219" spans="4:7">
      <c r="E219" s="78" t="s">
        <v>326</v>
      </c>
      <c r="F219" s="79" t="s">
        <v>327</v>
      </c>
      <c r="G219" s="56">
        <v>9680050.5620000008</v>
      </c>
    </row>
    <row r="220" spans="4:7" ht="52.5">
      <c r="D220" s="78" t="s">
        <v>392</v>
      </c>
      <c r="F220" s="79" t="s">
        <v>2489</v>
      </c>
      <c r="G220" s="56">
        <v>51051</v>
      </c>
    </row>
    <row r="221" spans="4:7" ht="21">
      <c r="D221" s="78" t="s">
        <v>394</v>
      </c>
      <c r="F221" s="79" t="s">
        <v>395</v>
      </c>
      <c r="G221" s="56">
        <v>43711.792200000004</v>
      </c>
    </row>
    <row r="222" spans="4:7" ht="21">
      <c r="D222" s="78" t="s">
        <v>2490</v>
      </c>
      <c r="F222" s="79" t="s">
        <v>2491</v>
      </c>
      <c r="G222" s="56">
        <v>6405.4080000000004</v>
      </c>
    </row>
  </sheetData>
  <mergeCells count="4">
    <mergeCell ref="G7:G8"/>
    <mergeCell ref="A9:E9"/>
    <mergeCell ref="A7:E8"/>
    <mergeCell ref="F7:F8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72" firstPageNumber="157" fitToHeight="0" orientation="landscape" useFirstPageNumber="1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109"/>
  <sheetViews>
    <sheetView zoomScale="60" zoomScaleNormal="60" zoomScaleSheetLayoutView="50" workbookViewId="0">
      <pane xSplit="2" ySplit="3" topLeftCell="C4" activePane="bottomRight" state="frozen"/>
      <selection activeCell="I20" sqref="I20"/>
      <selection pane="topRight" activeCell="I20" sqref="I20"/>
      <selection pane="bottomLeft" activeCell="I20" sqref="I20"/>
      <selection pane="bottomRight" sqref="A1:XFD1048576"/>
    </sheetView>
  </sheetViews>
  <sheetFormatPr defaultColWidth="9.7109375" defaultRowHeight="23.25"/>
  <cols>
    <col min="1" max="1" width="20.7109375" style="9" customWidth="1"/>
    <col min="2" max="2" width="95.7109375" style="11" customWidth="1"/>
    <col min="3" max="5" width="18.7109375" style="6" customWidth="1"/>
    <col min="6" max="16" width="18.7109375" style="7" customWidth="1"/>
    <col min="17" max="17" width="36.7109375" style="19" customWidth="1"/>
    <col min="18" max="16384" width="9.7109375" style="3"/>
  </cols>
  <sheetData>
    <row r="1" spans="1:17" s="4" customFormat="1" ht="18.75">
      <c r="A1" s="1177"/>
      <c r="B1" s="1178"/>
      <c r="C1" s="1166" t="s">
        <v>222</v>
      </c>
      <c r="D1" s="1167"/>
      <c r="E1" s="1168"/>
      <c r="F1" s="1183" t="s">
        <v>223</v>
      </c>
      <c r="G1" s="1184"/>
      <c r="H1" s="1184"/>
      <c r="I1" s="1184"/>
      <c r="J1" s="1184"/>
      <c r="K1" s="1169"/>
      <c r="L1" s="1168"/>
      <c r="M1" s="1170" t="s">
        <v>224</v>
      </c>
      <c r="N1" s="1171"/>
      <c r="O1" s="1171"/>
      <c r="P1" s="1185" t="s">
        <v>1889</v>
      </c>
      <c r="Q1" s="1174" t="s">
        <v>46</v>
      </c>
    </row>
    <row r="2" spans="1:17" s="20" customFormat="1" ht="21.75">
      <c r="A2" s="1179"/>
      <c r="B2" s="1180"/>
      <c r="C2" s="551" t="s">
        <v>14</v>
      </c>
      <c r="D2" s="539" t="s">
        <v>16</v>
      </c>
      <c r="E2" s="539" t="s">
        <v>1882</v>
      </c>
      <c r="F2" s="552" t="s">
        <v>35</v>
      </c>
      <c r="G2" s="540" t="s">
        <v>37</v>
      </c>
      <c r="H2" s="540" t="s">
        <v>1884</v>
      </c>
      <c r="I2" s="540" t="s">
        <v>39</v>
      </c>
      <c r="J2" s="552" t="s">
        <v>41</v>
      </c>
      <c r="K2" s="540" t="s">
        <v>1886</v>
      </c>
      <c r="L2" s="540" t="s">
        <v>1887</v>
      </c>
      <c r="M2" s="552" t="s">
        <v>43</v>
      </c>
      <c r="N2" s="540" t="s">
        <v>1888</v>
      </c>
      <c r="O2" s="541" t="s">
        <v>45</v>
      </c>
      <c r="P2" s="1186"/>
      <c r="Q2" s="1175"/>
    </row>
    <row r="3" spans="1:17" s="16" customFormat="1" ht="231">
      <c r="A3" s="1181"/>
      <c r="B3" s="1182"/>
      <c r="C3" s="573" t="s">
        <v>15</v>
      </c>
      <c r="D3" s="547" t="s">
        <v>17</v>
      </c>
      <c r="E3" s="548" t="s">
        <v>1883</v>
      </c>
      <c r="F3" s="574" t="s">
        <v>36</v>
      </c>
      <c r="G3" s="549" t="s">
        <v>38</v>
      </c>
      <c r="H3" s="550" t="s">
        <v>1885</v>
      </c>
      <c r="I3" s="549" t="s">
        <v>40</v>
      </c>
      <c r="J3" s="574" t="s">
        <v>42</v>
      </c>
      <c r="K3" s="515" t="s">
        <v>1966</v>
      </c>
      <c r="L3" s="515" t="s">
        <v>1967</v>
      </c>
      <c r="M3" s="574" t="s">
        <v>44</v>
      </c>
      <c r="N3" s="515" t="s">
        <v>1968</v>
      </c>
      <c r="O3" s="549" t="s">
        <v>1970</v>
      </c>
      <c r="P3" s="575" t="s">
        <v>1890</v>
      </c>
      <c r="Q3" s="1176"/>
    </row>
    <row r="4" spans="1:17" s="455" customFormat="1" ht="21">
      <c r="A4" s="36" t="s">
        <v>94</v>
      </c>
      <c r="B4" s="542" t="s">
        <v>154</v>
      </c>
      <c r="C4" s="466">
        <f t="shared" ref="C4:C37" si="0">D4+E4</f>
        <v>360752133.95077425</v>
      </c>
      <c r="D4" s="466">
        <f t="shared" ref="D4:J4" si="1">D5+D6+D7</f>
        <v>360752133.95077425</v>
      </c>
      <c r="E4" s="466"/>
      <c r="F4" s="466">
        <f t="shared" si="1"/>
        <v>14311641</v>
      </c>
      <c r="G4" s="466"/>
      <c r="H4" s="466"/>
      <c r="I4" s="466">
        <f t="shared" si="1"/>
        <v>14311641</v>
      </c>
      <c r="J4" s="466">
        <f t="shared" si="1"/>
        <v>79908980.06813854</v>
      </c>
      <c r="K4" s="466"/>
      <c r="L4" s="466"/>
      <c r="M4" s="466">
        <f t="shared" ref="M4:M5" si="2">O4+N4</f>
        <v>1802334</v>
      </c>
      <c r="N4" s="466"/>
      <c r="O4" s="466">
        <f>O5+O6+O7</f>
        <v>1802334</v>
      </c>
      <c r="P4" s="466"/>
      <c r="Q4" s="466">
        <f t="shared" ref="Q4:Q37" si="3">C4+F4+J4+M4+P4</f>
        <v>456775089.01891279</v>
      </c>
    </row>
    <row r="5" spans="1:17" s="462" customFormat="1" ht="21">
      <c r="A5" s="553" t="s">
        <v>95</v>
      </c>
      <c r="B5" s="543" t="s">
        <v>154</v>
      </c>
      <c r="C5" s="583">
        <f t="shared" si="0"/>
        <v>194876726.01885667</v>
      </c>
      <c r="D5" s="584">
        <f>'ДФ 2015'!H14+'ДФ 2015'!H13+'Мб 2015'!N22+'Мб 2015'!N35+'Мб 2015'!N63+'Мб 2015'!N87+'КОМУ 2015'!I5+'КОМУ 2015'!I6+'КОМУ 2015'!I7+'КОМУ 2015'!I8+'КОМУ 2015'!I9+'ДФ 2015'!H17+'ДФ 2015'!J30+'ГБ 2015'!N213+'ГБ 2015'!N54+'ГБ 2015'!N114+'Мб 2015'!N13+'Мб 2015'!N17+'009 2015'!L13+'КОМУ 2015'!J5+'КОМУ 2015'!J6+'КОМУ 2015'!J7+'КОМУ 2015'!J8+'КОМУ 2015'!J9+'КОМУ 2015'!K5+'КОМУ 2015'!K6+'КОМУ 2015'!K7+'КОМУ 2015'!K8+'КОМУ 2015'!K9+'ГБ 2015'!N67</f>
        <v>194876726.01885667</v>
      </c>
      <c r="E5" s="584"/>
      <c r="F5" s="583">
        <f>G5+I5</f>
        <v>14311641</v>
      </c>
      <c r="G5" s="584"/>
      <c r="H5" s="584"/>
      <c r="I5" s="584">
        <f>'ОУ 2015'!D5</f>
        <v>14311641</v>
      </c>
      <c r="J5" s="583">
        <f>OДХold!M38</f>
        <v>79908980.06813854</v>
      </c>
      <c r="K5" s="584"/>
      <c r="L5" s="584"/>
      <c r="M5" s="583">
        <f t="shared" si="2"/>
        <v>1802334</v>
      </c>
      <c r="N5" s="584"/>
      <c r="O5" s="584">
        <f>ФХД2!C18</f>
        <v>1802334</v>
      </c>
      <c r="P5" s="466"/>
      <c r="Q5" s="466">
        <f t="shared" si="3"/>
        <v>290899681.08699524</v>
      </c>
    </row>
    <row r="6" spans="1:17" s="462" customFormat="1" ht="42">
      <c r="A6" s="553" t="s">
        <v>99</v>
      </c>
      <c r="B6" s="543" t="s">
        <v>158</v>
      </c>
      <c r="C6" s="583">
        <f t="shared" si="0"/>
        <v>17905770.29696054</v>
      </c>
      <c r="D6" s="584">
        <f>'КОМУ 2015'!M5+'КОМУ 2015'!M6+'КОМУ 2015'!M7+'КОМУ 2015'!M8+'КОМУ 2015'!M9+'КОМУ 2015'!N5+'КОМУ 2015'!N6+'КОМУ 2015'!N7+'КОМУ 2015'!N8+'КОМУ 2015'!N9+'ДФ 2015'!H10+'009 2015'!L15+'009 2015'!L14</f>
        <v>17905770.29696054</v>
      </c>
      <c r="E6" s="584"/>
      <c r="F6" s="583"/>
      <c r="G6" s="584"/>
      <c r="H6" s="584"/>
      <c r="I6" s="584"/>
      <c r="J6" s="583"/>
      <c r="K6" s="584"/>
      <c r="L6" s="584"/>
      <c r="M6" s="583"/>
      <c r="N6" s="584"/>
      <c r="O6" s="584"/>
      <c r="P6" s="466"/>
      <c r="Q6" s="466">
        <f t="shared" si="3"/>
        <v>17905770.29696054</v>
      </c>
    </row>
    <row r="7" spans="1:17" s="462" customFormat="1" ht="42">
      <c r="A7" s="553" t="s">
        <v>102</v>
      </c>
      <c r="B7" s="543" t="s">
        <v>161</v>
      </c>
      <c r="C7" s="583">
        <f t="shared" si="0"/>
        <v>147969637.63495705</v>
      </c>
      <c r="D7" s="584">
        <f>'КОМУ 2015'!Q5+'КОМУ 2015'!Q6+'КОМУ 2015'!Q7+'КОМУ 2015'!Q8+'КОМУ 2015'!Q9+'КОМУ 2015'!R5+'КОМУ 2015'!R6+'КОМУ 2015'!R7+'КОМУ 2015'!R8+'КОМУ 2015'!R9+'ДФ 2015'!H9+'КОМУ 2015'!U5+'КОМУ 2015'!U6+'КОМУ 2015'!U7+'КОМУ 2015'!U8+'КОМУ 2015'!U9+'КОМУ 2015'!V5+'КОМУ 2015'!V6+'КОМУ 2015'!V7+'КОМУ 2015'!V8+'КОМУ 2015'!V9+'ДФ 2015'!H18+'КОМУ 2015'!X5+'КОМУ 2015'!X6+'КОМУ 2015'!X7+'КОМУ 2015'!X8+'КОМУ 2015'!X9+'КОМУ 2015'!Y5+'КОМУ 2015'!Y6+'КОМУ 2015'!Y7+'КОМУ 2015'!Y8+'КОМУ 2015'!Y9+'КОМУ 2015'!AA5+'КОМУ 2015'!AA6+'КОМУ 2015'!AA7+'КОМУ 2015'!AA8+'КОМУ 2015'!AA9+'039 2015'!M9+'009 2015'!L19+'009 2015'!L16+'009 2015'!L18+'Мб 2015'!N94+'Мб 2015'!N71+'009 2015'!L17</f>
        <v>147969637.63495705</v>
      </c>
      <c r="E7" s="584"/>
      <c r="F7" s="583"/>
      <c r="G7" s="584"/>
      <c r="H7" s="584"/>
      <c r="I7" s="584"/>
      <c r="J7" s="583"/>
      <c r="K7" s="584"/>
      <c r="L7" s="584"/>
      <c r="M7" s="583"/>
      <c r="N7" s="584"/>
      <c r="O7" s="584"/>
      <c r="P7" s="466"/>
      <c r="Q7" s="466">
        <f t="shared" si="3"/>
        <v>147969637.63495705</v>
      </c>
    </row>
    <row r="8" spans="1:17" s="455" customFormat="1" ht="21">
      <c r="A8" s="36" t="s">
        <v>115</v>
      </c>
      <c r="B8" s="36" t="s">
        <v>174</v>
      </c>
      <c r="C8" s="466">
        <f t="shared" si="0"/>
        <v>3501890.3625000003</v>
      </c>
      <c r="D8" s="466">
        <f>D9+D11+D10</f>
        <v>3501890.3625000003</v>
      </c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>
        <f t="shared" si="3"/>
        <v>3501890.3625000003</v>
      </c>
    </row>
    <row r="9" spans="1:17" s="462" customFormat="1" ht="21">
      <c r="A9" s="553" t="s">
        <v>116</v>
      </c>
      <c r="B9" s="544" t="s">
        <v>175</v>
      </c>
      <c r="C9" s="466">
        <f t="shared" si="0"/>
        <v>269179.99199999997</v>
      </c>
      <c r="D9" s="555">
        <f>'ГБ 2015'!V76</f>
        <v>269179.99199999997</v>
      </c>
      <c r="E9" s="555"/>
      <c r="F9" s="466"/>
      <c r="G9" s="555"/>
      <c r="H9" s="555"/>
      <c r="I9" s="555"/>
      <c r="J9" s="466"/>
      <c r="K9" s="555"/>
      <c r="L9" s="555"/>
      <c r="M9" s="466"/>
      <c r="N9" s="555"/>
      <c r="O9" s="555"/>
      <c r="P9" s="466"/>
      <c r="Q9" s="466">
        <f t="shared" si="3"/>
        <v>269179.99199999997</v>
      </c>
    </row>
    <row r="10" spans="1:17" s="462" customFormat="1" ht="21">
      <c r="A10" s="554" t="s">
        <v>1927</v>
      </c>
      <c r="B10" s="510" t="s">
        <v>1928</v>
      </c>
      <c r="C10" s="466"/>
      <c r="D10" s="555"/>
      <c r="E10" s="555"/>
      <c r="F10" s="466"/>
      <c r="G10" s="555"/>
      <c r="H10" s="555"/>
      <c r="I10" s="555"/>
      <c r="J10" s="466"/>
      <c r="K10" s="555"/>
      <c r="L10" s="555"/>
      <c r="M10" s="466"/>
      <c r="N10" s="555"/>
      <c r="O10" s="555"/>
      <c r="P10" s="466"/>
      <c r="Q10" s="466"/>
    </row>
    <row r="11" spans="1:17" s="462" customFormat="1" ht="21">
      <c r="A11" s="553" t="s">
        <v>118</v>
      </c>
      <c r="B11" s="543" t="s">
        <v>177</v>
      </c>
      <c r="C11" s="466">
        <f t="shared" si="0"/>
        <v>3232710.3705000002</v>
      </c>
      <c r="D11" s="555">
        <f>'ГБ 2015'!N90+'ГБ 2015'!N103</f>
        <v>3232710.3705000002</v>
      </c>
      <c r="E11" s="555"/>
      <c r="F11" s="466"/>
      <c r="G11" s="555"/>
      <c r="H11" s="555"/>
      <c r="I11" s="555"/>
      <c r="J11" s="466"/>
      <c r="K11" s="555"/>
      <c r="L11" s="555"/>
      <c r="M11" s="466"/>
      <c r="N11" s="555"/>
      <c r="O11" s="555"/>
      <c r="P11" s="466"/>
      <c r="Q11" s="466">
        <f t="shared" si="3"/>
        <v>3232710.3705000002</v>
      </c>
    </row>
    <row r="12" spans="1:17" s="455" customFormat="1" ht="21">
      <c r="A12" s="508" t="s">
        <v>209</v>
      </c>
      <c r="B12" s="36" t="s">
        <v>179</v>
      </c>
      <c r="C12" s="466">
        <f t="shared" si="0"/>
        <v>257140819.63760793</v>
      </c>
      <c r="D12" s="466">
        <f>D13+D14+D15+D16+D17</f>
        <v>257140819.63760793</v>
      </c>
      <c r="E12" s="466"/>
      <c r="F12" s="466">
        <f t="shared" ref="F12:F15" si="4">G12+I12</f>
        <v>26717762</v>
      </c>
      <c r="G12" s="466">
        <f>G13+G14+G15+G16+'НБ прем.'!D30+G17</f>
        <v>17869687</v>
      </c>
      <c r="H12" s="466"/>
      <c r="I12" s="466">
        <f>I13+I14+I15+I16-'НБ прем.'!D30+I17</f>
        <v>8848075</v>
      </c>
      <c r="J12" s="466">
        <f>J13+J14+J15+J16+J17</f>
        <v>223711151.49638721</v>
      </c>
      <c r="K12" s="466"/>
      <c r="L12" s="466"/>
      <c r="M12" s="466"/>
      <c r="N12" s="466"/>
      <c r="O12" s="466"/>
      <c r="P12" s="466"/>
      <c r="Q12" s="466">
        <f t="shared" si="3"/>
        <v>507569733.13399518</v>
      </c>
    </row>
    <row r="13" spans="1:17" s="462" customFormat="1" ht="21">
      <c r="A13" s="553" t="s">
        <v>121</v>
      </c>
      <c r="B13" s="543" t="s">
        <v>180</v>
      </c>
      <c r="C13" s="583">
        <f t="shared" si="0"/>
        <v>226332692.54702759</v>
      </c>
      <c r="D13" s="584">
        <f>'КОМУ 2015'!AF5+'КОМУ 2015'!AF6+'КОМУ 2015'!AF7+'КОМУ 2015'!AF8+'КОМУ 2015'!AF9+'039 2015'!M6</f>
        <v>226332692.54702759</v>
      </c>
      <c r="E13" s="584"/>
      <c r="F13" s="583">
        <f t="shared" si="4"/>
        <v>18879715</v>
      </c>
      <c r="G13" s="584"/>
      <c r="H13" s="584"/>
      <c r="I13" s="584">
        <f>'ОУ 2015'!D12</f>
        <v>18879715</v>
      </c>
      <c r="J13" s="583">
        <f>OДХold!M35</f>
        <v>29063753.712609943</v>
      </c>
      <c r="K13" s="555"/>
      <c r="L13" s="555"/>
      <c r="M13" s="466"/>
      <c r="N13" s="555"/>
      <c r="O13" s="555"/>
      <c r="P13" s="466"/>
      <c r="Q13" s="466">
        <f t="shared" si="3"/>
        <v>274276161.25963753</v>
      </c>
    </row>
    <row r="14" spans="1:17" s="462" customFormat="1" ht="21">
      <c r="A14" s="553" t="s">
        <v>123</v>
      </c>
      <c r="B14" s="543" t="s">
        <v>182</v>
      </c>
      <c r="C14" s="583"/>
      <c r="D14" s="584"/>
      <c r="E14" s="584"/>
      <c r="F14" s="583">
        <f t="shared" si="4"/>
        <v>2608225</v>
      </c>
      <c r="G14" s="584"/>
      <c r="H14" s="584"/>
      <c r="I14" s="584">
        <f>'ОУ 2015'!D14</f>
        <v>2608225</v>
      </c>
      <c r="J14" s="583">
        <f>OДХold!M36</f>
        <v>137958042.81397218</v>
      </c>
      <c r="K14" s="555"/>
      <c r="L14" s="555"/>
      <c r="M14" s="466"/>
      <c r="N14" s="555"/>
      <c r="O14" s="555"/>
      <c r="P14" s="466"/>
      <c r="Q14" s="466">
        <f t="shared" si="3"/>
        <v>140566267.81397218</v>
      </c>
    </row>
    <row r="15" spans="1:17" s="462" customFormat="1" ht="21">
      <c r="A15" s="553" t="s">
        <v>124</v>
      </c>
      <c r="B15" s="543" t="s">
        <v>183</v>
      </c>
      <c r="C15" s="583">
        <f t="shared" si="0"/>
        <v>27625317.990580354</v>
      </c>
      <c r="D15" s="584">
        <f>'039 2015'!M7</f>
        <v>27625317.990580354</v>
      </c>
      <c r="E15" s="584"/>
      <c r="F15" s="583">
        <f t="shared" si="4"/>
        <v>5229822</v>
      </c>
      <c r="G15" s="584"/>
      <c r="H15" s="584"/>
      <c r="I15" s="584">
        <f>'ОУ 2015'!D13</f>
        <v>5229822</v>
      </c>
      <c r="J15" s="583">
        <f>OДХold!M37</f>
        <v>56689354.969805099</v>
      </c>
      <c r="K15" s="555"/>
      <c r="L15" s="555"/>
      <c r="M15" s="466"/>
      <c r="N15" s="555"/>
      <c r="O15" s="555"/>
      <c r="P15" s="466"/>
      <c r="Q15" s="466">
        <f t="shared" si="3"/>
        <v>89544494.960385457</v>
      </c>
    </row>
    <row r="16" spans="1:17" s="462" customFormat="1" ht="21">
      <c r="A16" s="553" t="s">
        <v>125</v>
      </c>
      <c r="B16" s="543" t="s">
        <v>184</v>
      </c>
      <c r="C16" s="583">
        <f t="shared" si="0"/>
        <v>3182809.1000000006</v>
      </c>
      <c r="D16" s="584">
        <f>'КОМУ 2015'!AL5+'КОМУ 2015'!AL6+'КОМУ 2015'!AL7+'КОМУ 2015'!AL8+'КОМУ 2015'!AL9+'КОМУ 2015'!AM5+'КОМУ 2015'!AM6+'КОМУ 2015'!AM7+'КОМУ 2015'!AM8+'КОМУ 2015'!AM9+'КОМУ 2015'!AQ7+'КОМУ 2015'!AO5+'КОМУ 2015'!AO6+'КОМУ 2015'!AO7+'КОМУ 2015'!AO8+'КОМУ 2015'!AO9</f>
        <v>3182809.1000000006</v>
      </c>
      <c r="E16" s="584"/>
      <c r="F16" s="583"/>
      <c r="G16" s="584"/>
      <c r="H16" s="584"/>
      <c r="I16" s="584"/>
      <c r="J16" s="583"/>
      <c r="K16" s="555"/>
      <c r="L16" s="555"/>
      <c r="M16" s="466"/>
      <c r="N16" s="555"/>
      <c r="O16" s="555"/>
      <c r="P16" s="466"/>
      <c r="Q16" s="466">
        <f t="shared" si="3"/>
        <v>3182809.1000000006</v>
      </c>
    </row>
    <row r="17" spans="1:17" s="462" customFormat="1" ht="21">
      <c r="A17" s="554" t="s">
        <v>1929</v>
      </c>
      <c r="B17" s="545" t="s">
        <v>1930</v>
      </c>
      <c r="C17" s="466"/>
      <c r="D17" s="555"/>
      <c r="E17" s="555"/>
      <c r="F17" s="466"/>
      <c r="G17" s="555"/>
      <c r="H17" s="555"/>
      <c r="I17" s="555"/>
      <c r="J17" s="466"/>
      <c r="K17" s="555"/>
      <c r="L17" s="555"/>
      <c r="M17" s="466"/>
      <c r="N17" s="555"/>
      <c r="O17" s="555"/>
      <c r="P17" s="466"/>
      <c r="Q17" s="466"/>
    </row>
    <row r="18" spans="1:17" s="455" customFormat="1" ht="21">
      <c r="A18" s="36" t="s">
        <v>132</v>
      </c>
      <c r="B18" s="542" t="s">
        <v>191</v>
      </c>
      <c r="C18" s="466">
        <f t="shared" si="0"/>
        <v>35673276.222737812</v>
      </c>
      <c r="D18" s="466">
        <f t="shared" ref="D18" si="5">D19+D20+D21</f>
        <v>35673276.222737812</v>
      </c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>
        <f t="shared" si="3"/>
        <v>35673276.222737812</v>
      </c>
    </row>
    <row r="19" spans="1:17" s="462" customFormat="1" ht="42">
      <c r="A19" s="553" t="s">
        <v>133</v>
      </c>
      <c r="B19" s="543" t="s">
        <v>192</v>
      </c>
      <c r="C19" s="466">
        <f t="shared" si="0"/>
        <v>35673276.222737812</v>
      </c>
      <c r="D19" s="555">
        <f>'ДФ 2015'!H16+'Мб 2015'!N134+'Мб 2015'!N127+'Мб 2015'!N154+'Мб 2015'!N199+'039 2015'!M8+'ГБ 2015'!N210</f>
        <v>35673276.222737812</v>
      </c>
      <c r="E19" s="555"/>
      <c r="F19" s="466"/>
      <c r="G19" s="555"/>
      <c r="H19" s="555"/>
      <c r="I19" s="555"/>
      <c r="J19" s="466"/>
      <c r="K19" s="555"/>
      <c r="L19" s="555"/>
      <c r="M19" s="466"/>
      <c r="N19" s="555"/>
      <c r="O19" s="555"/>
      <c r="P19" s="466"/>
      <c r="Q19" s="466">
        <f t="shared" si="3"/>
        <v>35673276.222737812</v>
      </c>
    </row>
    <row r="20" spans="1:17" s="462" customFormat="1" ht="21">
      <c r="A20" s="554" t="s">
        <v>1931</v>
      </c>
      <c r="B20" s="545" t="s">
        <v>1932</v>
      </c>
      <c r="C20" s="466"/>
      <c r="D20" s="555"/>
      <c r="E20" s="555"/>
      <c r="F20" s="466"/>
      <c r="G20" s="555"/>
      <c r="H20" s="555"/>
      <c r="I20" s="555"/>
      <c r="J20" s="466"/>
      <c r="K20" s="555"/>
      <c r="L20" s="555"/>
      <c r="M20" s="466"/>
      <c r="N20" s="555"/>
      <c r="O20" s="555"/>
      <c r="P20" s="466"/>
      <c r="Q20" s="466"/>
    </row>
    <row r="21" spans="1:17" s="462" customFormat="1" ht="21">
      <c r="A21" s="554" t="s">
        <v>1940</v>
      </c>
      <c r="B21" s="545" t="s">
        <v>1941</v>
      </c>
      <c r="C21" s="466"/>
      <c r="D21" s="555"/>
      <c r="E21" s="555"/>
      <c r="F21" s="466"/>
      <c r="G21" s="555"/>
      <c r="H21" s="555"/>
      <c r="I21" s="555"/>
      <c r="J21" s="466"/>
      <c r="K21" s="555"/>
      <c r="L21" s="555"/>
      <c r="M21" s="466"/>
      <c r="N21" s="555"/>
      <c r="O21" s="555"/>
      <c r="P21" s="466"/>
      <c r="Q21" s="466"/>
    </row>
    <row r="22" spans="1:17" s="455" customFormat="1" ht="21">
      <c r="A22" s="36" t="s">
        <v>135</v>
      </c>
      <c r="B22" s="542" t="s">
        <v>194</v>
      </c>
      <c r="C22" s="466">
        <f t="shared" si="0"/>
        <v>57953257.585799992</v>
      </c>
      <c r="D22" s="466">
        <f>D23+D24+D25</f>
        <v>57953257.585799992</v>
      </c>
      <c r="E22" s="466"/>
      <c r="F22" s="466"/>
      <c r="G22" s="466"/>
      <c r="H22" s="466"/>
      <c r="I22" s="466"/>
      <c r="J22" s="466">
        <f t="shared" ref="J22" si="6">J23+J24+J25</f>
        <v>213395676.15709379</v>
      </c>
      <c r="K22" s="466"/>
      <c r="L22" s="466"/>
      <c r="M22" s="466"/>
      <c r="N22" s="466"/>
      <c r="O22" s="466"/>
      <c r="P22" s="466"/>
      <c r="Q22" s="466">
        <f t="shared" si="3"/>
        <v>271348933.74289382</v>
      </c>
    </row>
    <row r="23" spans="1:17" s="462" customFormat="1" ht="21">
      <c r="A23" s="553" t="s">
        <v>136</v>
      </c>
      <c r="B23" s="543" t="s">
        <v>195</v>
      </c>
      <c r="C23" s="466">
        <f t="shared" si="0"/>
        <v>57953257.585799992</v>
      </c>
      <c r="D23" s="555">
        <f>'Мб 2015'!N78+'Мб 2015'!N80+'Мб 2015'!N82+'Мб 2015'!N84+'Мб 2015'!N92+'Мб 2015'!N69+'Мб 2015'!N60+'Мб 2015'!N57+'Мб 2015'!N54+'Мб 2015'!N52+'Мб 2015'!N99+'Мб 2015'!N114+'Мб 2015'!N122+'Мб 2015'!N110</f>
        <v>57953257.585799992</v>
      </c>
      <c r="E23" s="555"/>
      <c r="F23" s="466"/>
      <c r="G23" s="555"/>
      <c r="H23" s="555"/>
      <c r="I23" s="555"/>
      <c r="J23" s="466">
        <f>OДХold!M32</f>
        <v>198033593.11061755</v>
      </c>
      <c r="K23" s="555"/>
      <c r="L23" s="555"/>
      <c r="M23" s="466"/>
      <c r="N23" s="555"/>
      <c r="O23" s="555"/>
      <c r="P23" s="466"/>
      <c r="Q23" s="466">
        <f t="shared" si="3"/>
        <v>255986850.69641754</v>
      </c>
    </row>
    <row r="24" spans="1:17" s="462" customFormat="1" ht="42">
      <c r="A24" s="553" t="s">
        <v>137</v>
      </c>
      <c r="B24" s="543" t="s">
        <v>196</v>
      </c>
      <c r="C24" s="466"/>
      <c r="D24" s="555"/>
      <c r="E24" s="555"/>
      <c r="F24" s="466"/>
      <c r="G24" s="555"/>
      <c r="H24" s="555"/>
      <c r="I24" s="555"/>
      <c r="J24" s="466">
        <f>OДХold!M34</f>
        <v>13074113.231043609</v>
      </c>
      <c r="K24" s="555"/>
      <c r="L24" s="555"/>
      <c r="M24" s="466"/>
      <c r="N24" s="555"/>
      <c r="O24" s="555"/>
      <c r="P24" s="466"/>
      <c r="Q24" s="466">
        <f t="shared" si="3"/>
        <v>13074113.231043609</v>
      </c>
    </row>
    <row r="25" spans="1:17" s="462" customFormat="1" ht="42">
      <c r="A25" s="553" t="s">
        <v>1880</v>
      </c>
      <c r="B25" s="546" t="s">
        <v>1881</v>
      </c>
      <c r="C25" s="466"/>
      <c r="D25" s="555"/>
      <c r="E25" s="555"/>
      <c r="F25" s="466"/>
      <c r="G25" s="555"/>
      <c r="H25" s="555"/>
      <c r="I25" s="555"/>
      <c r="J25" s="466">
        <f>OДХold!M33</f>
        <v>2287969.8154326314</v>
      </c>
      <c r="K25" s="555"/>
      <c r="L25" s="555"/>
      <c r="M25" s="466"/>
      <c r="N25" s="555"/>
      <c r="O25" s="555"/>
      <c r="P25" s="466"/>
      <c r="Q25" s="466">
        <f t="shared" si="3"/>
        <v>2287969.8154326314</v>
      </c>
    </row>
    <row r="26" spans="1:17" s="455" customFormat="1" ht="21">
      <c r="A26" s="36" t="s">
        <v>139</v>
      </c>
      <c r="B26" s="542" t="s">
        <v>197</v>
      </c>
      <c r="C26" s="466">
        <f t="shared" si="0"/>
        <v>42606125.909160003</v>
      </c>
      <c r="D26" s="466">
        <f>'ДФ 2015'!H15+'ДФ 2015'!H11+'ГБ 2015'!N113+'ГБ 2015'!N85+'ГБ 2015'!N84+'Мб 2015'!N28+'Мб 2015'!N31+'Мб 2015'!N41+'Мб 2015'!N44+'Мб 2015'!N46+'Мб 2015'!N33+'Мб 2015'!N66+'Мб 2015'!N89+'Мб 2015'!N104+'Мб 2015'!N117+'Мб 2015'!N148+'Мб 2015'!N193</f>
        <v>42606125.909160003</v>
      </c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>
        <f t="shared" si="3"/>
        <v>42606125.909160003</v>
      </c>
    </row>
    <row r="27" spans="1:17" s="455" customFormat="1" ht="21">
      <c r="A27" s="36" t="s">
        <v>140</v>
      </c>
      <c r="B27" s="542" t="s">
        <v>198</v>
      </c>
      <c r="C27" s="466">
        <f t="shared" si="0"/>
        <v>1766619.2233</v>
      </c>
      <c r="D27" s="466">
        <f>D28+D29+D30+D31</f>
        <v>1766619.2233</v>
      </c>
      <c r="E27" s="466"/>
      <c r="F27" s="466">
        <f>I27+G27</f>
        <v>2707819</v>
      </c>
      <c r="G27" s="466">
        <f t="shared" ref="G27" si="7">G28+G29+G30+G31</f>
        <v>2707819</v>
      </c>
      <c r="H27" s="466"/>
      <c r="I27" s="466"/>
      <c r="J27" s="466"/>
      <c r="K27" s="466"/>
      <c r="L27" s="466"/>
      <c r="M27" s="466"/>
      <c r="N27" s="466"/>
      <c r="O27" s="466"/>
      <c r="P27" s="466"/>
      <c r="Q27" s="466">
        <f t="shared" si="3"/>
        <v>4474438.2232999997</v>
      </c>
    </row>
    <row r="28" spans="1:17" s="462" customFormat="1" ht="21">
      <c r="A28" s="553" t="s">
        <v>141</v>
      </c>
      <c r="B28" s="543" t="s">
        <v>199</v>
      </c>
      <c r="C28" s="466">
        <f t="shared" si="0"/>
        <v>1766619.2233</v>
      </c>
      <c r="D28" s="555">
        <f>'Мб 2015'!N190+'Мб 2015'!N145+'Мб 2015'!N158</f>
        <v>1766619.2233</v>
      </c>
      <c r="E28" s="555"/>
      <c r="F28" s="466"/>
      <c r="G28" s="555"/>
      <c r="H28" s="555"/>
      <c r="I28" s="555"/>
      <c r="J28" s="466"/>
      <c r="K28" s="555"/>
      <c r="L28" s="555"/>
      <c r="M28" s="466"/>
      <c r="N28" s="555"/>
      <c r="O28" s="555"/>
      <c r="P28" s="466"/>
      <c r="Q28" s="466">
        <f t="shared" si="3"/>
        <v>1766619.2233</v>
      </c>
    </row>
    <row r="29" spans="1:17" s="462" customFormat="1" ht="21">
      <c r="A29" s="554" t="s">
        <v>1933</v>
      </c>
      <c r="B29" s="545" t="s">
        <v>1934</v>
      </c>
      <c r="C29" s="466"/>
      <c r="D29" s="555"/>
      <c r="E29" s="555"/>
      <c r="F29" s="466"/>
      <c r="G29" s="555"/>
      <c r="H29" s="555"/>
      <c r="I29" s="555"/>
      <c r="J29" s="466"/>
      <c r="K29" s="555"/>
      <c r="L29" s="555"/>
      <c r="M29" s="466"/>
      <c r="N29" s="555"/>
      <c r="O29" s="555"/>
      <c r="P29" s="466"/>
      <c r="Q29" s="466"/>
    </row>
    <row r="30" spans="1:17" s="462" customFormat="1" ht="21">
      <c r="A30" s="553" t="s">
        <v>144</v>
      </c>
      <c r="B30" s="543" t="s">
        <v>201</v>
      </c>
      <c r="C30" s="466"/>
      <c r="D30" s="555"/>
      <c r="E30" s="555"/>
      <c r="F30" s="466">
        <f>I30+G30</f>
        <v>2707819</v>
      </c>
      <c r="G30" s="555">
        <f>'НБ прем.'!F30</f>
        <v>2707819</v>
      </c>
      <c r="H30" s="555"/>
      <c r="I30" s="555"/>
      <c r="J30" s="466"/>
      <c r="K30" s="555"/>
      <c r="L30" s="555"/>
      <c r="M30" s="466"/>
      <c r="N30" s="555"/>
      <c r="O30" s="555"/>
      <c r="P30" s="466"/>
      <c r="Q30" s="466">
        <f t="shared" si="3"/>
        <v>2707819</v>
      </c>
    </row>
    <row r="31" spans="1:17" s="462" customFormat="1" ht="21">
      <c r="A31" s="554" t="s">
        <v>1935</v>
      </c>
      <c r="B31" s="545" t="s">
        <v>1942</v>
      </c>
      <c r="C31" s="466"/>
      <c r="D31" s="555"/>
      <c r="E31" s="555"/>
      <c r="F31" s="466"/>
      <c r="G31" s="555"/>
      <c r="H31" s="555"/>
      <c r="I31" s="555"/>
      <c r="J31" s="466"/>
      <c r="K31" s="555"/>
      <c r="L31" s="555"/>
      <c r="M31" s="466"/>
      <c r="N31" s="555"/>
      <c r="O31" s="555"/>
      <c r="P31" s="466"/>
      <c r="Q31" s="466"/>
    </row>
    <row r="32" spans="1:17" s="455" customFormat="1" ht="21">
      <c r="A32" s="36" t="s">
        <v>146</v>
      </c>
      <c r="B32" s="542" t="s">
        <v>203</v>
      </c>
      <c r="C32" s="466">
        <f t="shared" si="0"/>
        <v>4427080.4000400025</v>
      </c>
      <c r="D32" s="466">
        <f t="shared" ref="D32" si="8">D34+D35+D33</f>
        <v>4427080.4000400025</v>
      </c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>
        <f t="shared" si="3"/>
        <v>4427080.4000400025</v>
      </c>
    </row>
    <row r="33" spans="1:17" s="455" customFormat="1" ht="21">
      <c r="A33" s="554" t="s">
        <v>1937</v>
      </c>
      <c r="B33" s="545" t="s">
        <v>1938</v>
      </c>
      <c r="C33" s="466"/>
      <c r="D33" s="555"/>
      <c r="E33" s="555"/>
      <c r="F33" s="466"/>
      <c r="G33" s="555"/>
      <c r="H33" s="555"/>
      <c r="I33" s="555"/>
      <c r="J33" s="466"/>
      <c r="K33" s="555"/>
      <c r="L33" s="555"/>
      <c r="M33" s="466"/>
      <c r="N33" s="555"/>
      <c r="O33" s="555"/>
      <c r="P33" s="466"/>
      <c r="Q33" s="466"/>
    </row>
    <row r="34" spans="1:17" s="462" customFormat="1" ht="42">
      <c r="A34" s="553" t="s">
        <v>147</v>
      </c>
      <c r="B34" s="543" t="s">
        <v>204</v>
      </c>
      <c r="C34" s="466">
        <f t="shared" si="0"/>
        <v>4427080.4000400025</v>
      </c>
      <c r="D34" s="555">
        <f>'КОМУ 2015'!BH5+'КОМУ 2015'!BH7+'КОМУ 2015'!BH6+'ГБ 2015'!P39+'КОМУ 2015'!BH9+'ГБ 2015'!P15-'ГБ 2015'!N42-'ГБ 2015'!N44-'ГБ 2015'!N40-'ГБ 2015'!N31-'ГБ 2015'!N27-'ГБ 2015'!N33-'ГБ 2015'!N13-'ГБ 2015'!N20-'ГБ 2015'!N23-'ГБ 2015'!N16</f>
        <v>4427080.4000400025</v>
      </c>
      <c r="E34" s="555"/>
      <c r="F34" s="466"/>
      <c r="G34" s="555"/>
      <c r="H34" s="555"/>
      <c r="I34" s="555"/>
      <c r="J34" s="466"/>
      <c r="K34" s="555"/>
      <c r="L34" s="555"/>
      <c r="M34" s="466"/>
      <c r="N34" s="555"/>
      <c r="O34" s="555"/>
      <c r="P34" s="466"/>
      <c r="Q34" s="466">
        <f t="shared" si="3"/>
        <v>4427080.4000400025</v>
      </c>
    </row>
    <row r="35" spans="1:17" s="462" customFormat="1" ht="21">
      <c r="A35" s="553" t="s">
        <v>149</v>
      </c>
      <c r="B35" s="543" t="s">
        <v>206</v>
      </c>
      <c r="C35" s="466">
        <f t="shared" si="0"/>
        <v>0</v>
      </c>
      <c r="D35" s="555"/>
      <c r="E35" s="555"/>
      <c r="F35" s="466"/>
      <c r="G35" s="555"/>
      <c r="H35" s="555"/>
      <c r="I35" s="555"/>
      <c r="J35" s="466"/>
      <c r="K35" s="555"/>
      <c r="L35" s="555"/>
      <c r="M35" s="466"/>
      <c r="N35" s="555"/>
      <c r="O35" s="555"/>
      <c r="P35" s="466"/>
      <c r="Q35" s="466">
        <f t="shared" si="3"/>
        <v>0</v>
      </c>
    </row>
    <row r="36" spans="1:17" s="455" customFormat="1" ht="21">
      <c r="A36" s="36" t="s">
        <v>150</v>
      </c>
      <c r="B36" s="542" t="s">
        <v>13</v>
      </c>
      <c r="C36" s="466">
        <f t="shared" si="0"/>
        <v>1612487.7891899999</v>
      </c>
      <c r="D36" s="466">
        <f>'ДФ 2015'!H12</f>
        <v>1612487.7891899999</v>
      </c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>
        <f t="shared" si="3"/>
        <v>1612487.7891899999</v>
      </c>
    </row>
    <row r="37" spans="1:17" s="455" customFormat="1" ht="21" customHeight="1">
      <c r="A37" s="37" t="s">
        <v>1878</v>
      </c>
      <c r="B37" s="542" t="s">
        <v>1879</v>
      </c>
      <c r="C37" s="466">
        <f t="shared" si="0"/>
        <v>17566346.273699999</v>
      </c>
      <c r="D37" s="466">
        <f>(-'ГБ 2015'!N219-'РБ 2015'!N66-'ГБ 2015'!N205-'ГБ 2015'!N198-'ГБ 2015'!N69+'ГБ 2015'!N217+'ГБ 2015'!N219+'ГБ 2015'!N220+'ГБ 2015'!N223+'ГБ 2015'!N224+'ГБ 2015'!N225+'ГБ 2015'!N226+'ГБ 2015'!N78+'ГБ 2015'!N65+'ГБ 2015'!N214+'ГБ 2015'!N302+'ГБ 2015'!N303+'ГБ 2015'!N80+'ГБ 2015'!N69+'Мб 2015'!N200+'Мб 2015'!N202+'Мб 2015'!N204+'Мб 2015'!N205+'Мб 2015'!N207+'Мб 2015'!N167+'Мб 2015'!N166+'Мб 2015'!N165+'Мб 2015'!N164+'Мб 2015'!N162+'Мб 2015'!N161+'Мб 2015'!N159+'Мб 2015'!N155+'ГБ 2015'!N252+'ГБ 2015'!N255+'ГБ 2015'!N292+'ГБ 2015'!N295+'ГБ 2015'!N298+'ГБ 2015'!N259+'ГБ 2015'!N262+'ГБ 2015'!N266+'ГБ 2015'!N269-'ГБ 2015'!N242-'ГБ 2015'!N285+'Мб 2015'!N130+'Мб 2015'!N137)-76245072</f>
        <v>17566346.273699999</v>
      </c>
      <c r="E37" s="466"/>
      <c r="F37" s="466">
        <f>G37+I37</f>
        <v>14087169</v>
      </c>
      <c r="G37" s="466"/>
      <c r="H37" s="466"/>
      <c r="I37" s="466">
        <f>'ОУ 2015'!D15</f>
        <v>14087169</v>
      </c>
      <c r="J37" s="466">
        <f>OДХold!M39</f>
        <v>6824687.1066047642</v>
      </c>
      <c r="K37" s="466"/>
      <c r="L37" s="466"/>
      <c r="M37" s="466">
        <f>O37+N37</f>
        <v>2829095.06</v>
      </c>
      <c r="N37" s="466"/>
      <c r="O37" s="596">
        <f>'РБ 2015'!N57+Доноры!O15</f>
        <v>2829095.06</v>
      </c>
      <c r="P37" s="466"/>
      <c r="Q37" s="466">
        <f t="shared" si="3"/>
        <v>41307297.440304764</v>
      </c>
    </row>
    <row r="38" spans="1:17" s="455" customFormat="1" ht="30.95" customHeight="1">
      <c r="A38" s="1172" t="s">
        <v>46</v>
      </c>
      <c r="B38" s="1173"/>
      <c r="C38" s="466">
        <f t="shared" ref="C38:J38" si="9">C37+C36+C32+C27+C26+C22+C18+C12+C8+C4</f>
        <v>783000037.35481</v>
      </c>
      <c r="D38" s="466">
        <f t="shared" si="9"/>
        <v>783000037.35481</v>
      </c>
      <c r="E38" s="466"/>
      <c r="F38" s="466">
        <f t="shared" si="9"/>
        <v>57824391</v>
      </c>
      <c r="G38" s="466">
        <f t="shared" si="9"/>
        <v>20577506</v>
      </c>
      <c r="H38" s="466"/>
      <c r="I38" s="466">
        <f t="shared" si="9"/>
        <v>37246885</v>
      </c>
      <c r="J38" s="466">
        <f t="shared" si="9"/>
        <v>523840494.8282243</v>
      </c>
      <c r="K38" s="466"/>
      <c r="L38" s="466"/>
      <c r="M38" s="466">
        <f>O38+N38</f>
        <v>4631429.0600000005</v>
      </c>
      <c r="N38" s="466"/>
      <c r="O38" s="466">
        <f>O37+O36+O32+O27+O26+O22+O18+O12+O8+O4</f>
        <v>4631429.0600000005</v>
      </c>
      <c r="P38" s="466"/>
      <c r="Q38" s="466">
        <f>Q37+Q36+Q32+Q27+Q26+Q22+Q18+Q12+Q8+Q4</f>
        <v>1369296352.2430344</v>
      </c>
    </row>
    <row r="39" spans="1:17" s="5" customFormat="1" ht="26.25">
      <c r="A39" s="8"/>
      <c r="B39" s="10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7"/>
      <c r="N39" s="17"/>
      <c r="O39" s="18"/>
      <c r="P39" s="18"/>
      <c r="Q39" s="40"/>
    </row>
    <row r="40" spans="1:17" s="5" customFormat="1">
      <c r="A40" s="9"/>
      <c r="B40" s="11"/>
      <c r="C40" s="26"/>
      <c r="D40" s="6"/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22"/>
    </row>
    <row r="41" spans="1:17" s="5" customFormat="1">
      <c r="A41" s="9"/>
      <c r="B41" s="11"/>
      <c r="C41" s="26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44"/>
    </row>
    <row r="42" spans="1:17" s="5" customFormat="1">
      <c r="A42" s="9"/>
      <c r="B42" s="11"/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46"/>
    </row>
    <row r="43" spans="1:17" s="5" customFormat="1">
      <c r="A43" s="9"/>
      <c r="B43" s="11"/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46"/>
    </row>
    <row r="44" spans="1:17" s="5" customFormat="1">
      <c r="A44" s="9"/>
      <c r="B44" s="11"/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45"/>
    </row>
    <row r="45" spans="1:17" s="5" customFormat="1">
      <c r="A45" s="9"/>
      <c r="B45" s="11"/>
      <c r="C45" s="6"/>
      <c r="D45" s="6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44"/>
    </row>
    <row r="46" spans="1:17" s="5" customFormat="1">
      <c r="A46" s="9"/>
      <c r="B46" s="11"/>
      <c r="C46" s="6"/>
      <c r="D46" s="6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44"/>
    </row>
    <row r="47" spans="1:17" s="5" customFormat="1">
      <c r="A47" s="9"/>
      <c r="B47" s="11"/>
      <c r="C47" s="6"/>
      <c r="D47" s="26"/>
      <c r="E47" s="2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44"/>
    </row>
    <row r="48" spans="1:17" s="5" customFormat="1">
      <c r="A48" s="9"/>
      <c r="B48" s="11"/>
      <c r="C48" s="6"/>
      <c r="D48" s="6"/>
      <c r="E48" s="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44"/>
    </row>
    <row r="49" spans="1:17" s="5" customFormat="1">
      <c r="A49" s="9"/>
      <c r="B49" s="11"/>
      <c r="C49" s="6"/>
      <c r="D49" s="6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44"/>
    </row>
    <row r="50" spans="1:17" s="5" customFormat="1">
      <c r="A50" s="9"/>
      <c r="B50" s="11"/>
      <c r="C50" s="6"/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44"/>
    </row>
    <row r="51" spans="1:17" s="5" customFormat="1">
      <c r="A51" s="9"/>
      <c r="B51" s="11"/>
      <c r="C51" s="6"/>
      <c r="D51" s="6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9"/>
    </row>
    <row r="52" spans="1:17" s="5" customFormat="1">
      <c r="A52" s="9"/>
      <c r="B52" s="11"/>
      <c r="C52" s="6"/>
      <c r="D52" s="6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19"/>
    </row>
    <row r="53" spans="1:17" s="5" customFormat="1">
      <c r="A53" s="9"/>
      <c r="B53" s="11"/>
      <c r="C53" s="6"/>
      <c r="D53" s="6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9"/>
    </row>
    <row r="54" spans="1:17" s="5" customFormat="1">
      <c r="A54" s="9"/>
      <c r="B54" s="11"/>
      <c r="C54" s="6"/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19"/>
    </row>
    <row r="55" spans="1:17" s="5" customFormat="1">
      <c r="A55" s="9"/>
      <c r="B55" s="11"/>
      <c r="C55" s="6"/>
      <c r="D55" s="6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19"/>
    </row>
    <row r="56" spans="1:17" s="5" customFormat="1">
      <c r="A56" s="9"/>
      <c r="B56" s="11"/>
      <c r="C56" s="6"/>
      <c r="D56" s="6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9"/>
    </row>
    <row r="57" spans="1:17" s="5" customFormat="1">
      <c r="A57" s="9"/>
      <c r="B57" s="11"/>
      <c r="C57" s="6"/>
      <c r="D57" s="6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9"/>
    </row>
    <row r="58" spans="1:17" s="5" customFormat="1">
      <c r="A58" s="9"/>
      <c r="B58" s="11"/>
      <c r="C58" s="6"/>
      <c r="D58" s="6"/>
      <c r="E58" s="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9"/>
    </row>
    <row r="59" spans="1:17" s="5" customFormat="1">
      <c r="A59" s="9"/>
      <c r="B59" s="11"/>
      <c r="C59" s="6"/>
      <c r="D59" s="6"/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9"/>
    </row>
    <row r="60" spans="1:17" s="5" customFormat="1">
      <c r="A60" s="9"/>
      <c r="B60" s="11"/>
      <c r="C60" s="6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19"/>
    </row>
    <row r="61" spans="1:17" s="5" customFormat="1">
      <c r="A61" s="9"/>
      <c r="B61" s="11"/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19"/>
    </row>
    <row r="62" spans="1:17" s="5" customFormat="1">
      <c r="A62" s="9"/>
      <c r="B62" s="11"/>
      <c r="C62" s="6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19"/>
    </row>
    <row r="63" spans="1:17" s="5" customFormat="1">
      <c r="A63" s="9"/>
      <c r="B63" s="11"/>
      <c r="C63" s="6"/>
      <c r="D63" s="6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9"/>
    </row>
    <row r="64" spans="1:17" s="5" customFormat="1">
      <c r="A64" s="9"/>
      <c r="B64" s="11"/>
      <c r="C64" s="6"/>
      <c r="D64" s="6"/>
      <c r="E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19"/>
    </row>
    <row r="65" spans="1:17" s="5" customFormat="1">
      <c r="A65" s="9"/>
      <c r="B65" s="11"/>
      <c r="C65" s="6"/>
      <c r="D65" s="6"/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9"/>
    </row>
    <row r="66" spans="1:17" s="5" customFormat="1">
      <c r="A66" s="9"/>
      <c r="B66" s="11"/>
      <c r="C66" s="6"/>
      <c r="D66" s="6"/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19"/>
    </row>
    <row r="67" spans="1:17" s="5" customFormat="1">
      <c r="A67" s="9"/>
      <c r="B67" s="11"/>
      <c r="C67" s="6"/>
      <c r="D67" s="6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9"/>
    </row>
    <row r="68" spans="1:17" s="5" customFormat="1">
      <c r="A68" s="9"/>
      <c r="B68" s="11"/>
      <c r="C68" s="6"/>
      <c r="D68" s="6"/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9"/>
    </row>
    <row r="69" spans="1:17" s="5" customFormat="1">
      <c r="A69" s="9"/>
      <c r="B69" s="11"/>
      <c r="C69" s="6"/>
      <c r="D69" s="6"/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9"/>
    </row>
    <row r="70" spans="1:17" s="5" customFormat="1">
      <c r="A70" s="9"/>
      <c r="B70" s="11"/>
      <c r="C70" s="6"/>
      <c r="D70" s="6"/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9"/>
    </row>
    <row r="71" spans="1:17" s="5" customFormat="1">
      <c r="A71" s="9"/>
      <c r="B71" s="11"/>
      <c r="C71" s="6"/>
      <c r="D71" s="6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9"/>
    </row>
    <row r="72" spans="1:17" s="5" customFormat="1">
      <c r="A72" s="9"/>
      <c r="B72" s="11"/>
      <c r="C72" s="6"/>
      <c r="D72" s="6"/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9"/>
    </row>
    <row r="73" spans="1:17" s="5" customFormat="1">
      <c r="A73" s="9"/>
      <c r="B73" s="11"/>
      <c r="C73" s="6"/>
      <c r="D73" s="6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19"/>
    </row>
    <row r="74" spans="1:17" s="5" customFormat="1">
      <c r="A74" s="9"/>
      <c r="B74" s="11"/>
      <c r="C74" s="6"/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9"/>
    </row>
    <row r="75" spans="1:17" s="5" customFormat="1">
      <c r="A75" s="9"/>
      <c r="B75" s="11"/>
      <c r="C75" s="6"/>
      <c r="D75" s="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9"/>
    </row>
    <row r="76" spans="1:17" s="5" customFormat="1">
      <c r="A76" s="9"/>
      <c r="B76" s="11"/>
      <c r="C76" s="6"/>
      <c r="D76" s="6"/>
      <c r="E76" s="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9"/>
    </row>
    <row r="77" spans="1:17" s="5" customFormat="1">
      <c r="A77" s="9"/>
      <c r="B77" s="11"/>
      <c r="C77" s="6"/>
      <c r="D77" s="6"/>
      <c r="E77" s="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9"/>
    </row>
    <row r="78" spans="1:17" s="5" customFormat="1">
      <c r="A78" s="9"/>
      <c r="B78" s="11"/>
      <c r="C78" s="6"/>
      <c r="D78" s="6"/>
      <c r="E78" s="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9"/>
    </row>
    <row r="79" spans="1:17" s="5" customFormat="1">
      <c r="A79" s="9"/>
      <c r="B79" s="11"/>
      <c r="C79" s="6"/>
      <c r="D79" s="6"/>
      <c r="E79" s="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19"/>
    </row>
    <row r="80" spans="1:17" s="5" customFormat="1">
      <c r="A80" s="9"/>
      <c r="B80" s="11"/>
      <c r="C80" s="6"/>
      <c r="D80" s="6"/>
      <c r="E80" s="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19"/>
    </row>
    <row r="81" spans="1:17" s="5" customFormat="1">
      <c r="A81" s="9"/>
      <c r="B81" s="11"/>
      <c r="C81" s="6"/>
      <c r="D81" s="6"/>
      <c r="E81" s="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9"/>
    </row>
    <row r="82" spans="1:17" s="5" customFormat="1">
      <c r="A82" s="9"/>
      <c r="B82" s="11"/>
      <c r="C82" s="6"/>
      <c r="D82" s="6"/>
      <c r="E82" s="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9"/>
    </row>
    <row r="83" spans="1:17" s="5" customFormat="1">
      <c r="A83" s="9"/>
      <c r="B83" s="11"/>
      <c r="C83" s="6"/>
      <c r="D83" s="6"/>
      <c r="E83" s="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9"/>
    </row>
    <row r="84" spans="1:17" s="5" customFormat="1">
      <c r="A84" s="9"/>
      <c r="B84" s="11"/>
      <c r="C84" s="6"/>
      <c r="D84" s="6"/>
      <c r="E84" s="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9"/>
    </row>
    <row r="85" spans="1:17" s="5" customFormat="1">
      <c r="A85" s="9"/>
      <c r="B85" s="11"/>
      <c r="C85" s="6"/>
      <c r="D85" s="6"/>
      <c r="E85" s="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19"/>
    </row>
    <row r="86" spans="1:17" s="5" customFormat="1">
      <c r="A86" s="9"/>
      <c r="B86" s="11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9"/>
    </row>
    <row r="87" spans="1:17" s="5" customFormat="1">
      <c r="A87" s="9"/>
      <c r="B87" s="11"/>
      <c r="C87" s="6"/>
      <c r="D87" s="6"/>
      <c r="E87" s="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9"/>
    </row>
    <row r="88" spans="1:17" s="5" customFormat="1">
      <c r="A88" s="9"/>
      <c r="B88" s="11"/>
      <c r="C88" s="6"/>
      <c r="D88" s="6"/>
      <c r="E88" s="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19"/>
    </row>
    <row r="89" spans="1:17" s="5" customFormat="1">
      <c r="A89" s="9"/>
      <c r="B89" s="11"/>
      <c r="C89" s="6"/>
      <c r="D89" s="6"/>
      <c r="E89" s="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19"/>
    </row>
    <row r="90" spans="1:17" s="5" customFormat="1">
      <c r="A90" s="9"/>
      <c r="B90" s="11"/>
      <c r="C90" s="6"/>
      <c r="D90" s="6"/>
      <c r="E90" s="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19"/>
    </row>
    <row r="91" spans="1:17" s="5" customFormat="1">
      <c r="A91" s="9"/>
      <c r="B91" s="11"/>
      <c r="C91" s="6"/>
      <c r="D91" s="6"/>
      <c r="E91" s="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19"/>
    </row>
    <row r="92" spans="1:17" s="5" customFormat="1">
      <c r="A92" s="9"/>
      <c r="B92" s="11"/>
      <c r="C92" s="6"/>
      <c r="D92" s="6"/>
      <c r="E92" s="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9"/>
    </row>
    <row r="93" spans="1:17" s="5" customFormat="1">
      <c r="A93" s="9"/>
      <c r="B93" s="11"/>
      <c r="C93" s="6"/>
      <c r="D93" s="6"/>
      <c r="E93" s="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9"/>
    </row>
    <row r="94" spans="1:17" s="5" customFormat="1">
      <c r="A94" s="9"/>
      <c r="B94" s="11"/>
      <c r="C94" s="6"/>
      <c r="D94" s="6"/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9"/>
    </row>
    <row r="95" spans="1:17" s="5" customFormat="1">
      <c r="A95" s="9"/>
      <c r="B95" s="11"/>
      <c r="C95" s="6"/>
      <c r="D95" s="6"/>
      <c r="E95" s="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9"/>
    </row>
    <row r="96" spans="1:17" s="5" customFormat="1">
      <c r="A96" s="9"/>
      <c r="B96" s="11"/>
      <c r="C96" s="6"/>
      <c r="D96" s="6"/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9"/>
    </row>
    <row r="97" spans="1:17" s="5" customFormat="1">
      <c r="A97" s="9"/>
      <c r="B97" s="11"/>
      <c r="C97" s="6"/>
      <c r="D97" s="6"/>
      <c r="E97" s="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9"/>
    </row>
    <row r="98" spans="1:17" s="5" customFormat="1">
      <c r="A98" s="9"/>
      <c r="B98" s="11"/>
      <c r="C98" s="6"/>
      <c r="D98" s="6"/>
      <c r="E98" s="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9"/>
    </row>
    <row r="99" spans="1:17" s="5" customFormat="1">
      <c r="A99" s="9"/>
      <c r="B99" s="11"/>
      <c r="C99" s="6"/>
      <c r="D99" s="6"/>
      <c r="E99" s="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9"/>
    </row>
    <row r="100" spans="1:17" s="5" customFormat="1">
      <c r="A100" s="9"/>
      <c r="B100" s="11"/>
      <c r="C100" s="6"/>
      <c r="D100" s="6"/>
      <c r="E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9"/>
    </row>
    <row r="101" spans="1:17" s="5" customFormat="1">
      <c r="A101" s="9"/>
      <c r="B101" s="11"/>
      <c r="C101" s="6"/>
      <c r="D101" s="6"/>
      <c r="E101" s="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9"/>
    </row>
    <row r="102" spans="1:17" s="5" customFormat="1">
      <c r="A102" s="9"/>
      <c r="B102" s="11"/>
      <c r="C102" s="6"/>
      <c r="D102" s="6"/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9"/>
    </row>
    <row r="103" spans="1:17" s="5" customFormat="1">
      <c r="A103" s="9"/>
      <c r="B103" s="11"/>
      <c r="C103" s="6"/>
      <c r="D103" s="6"/>
      <c r="E103" s="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9"/>
    </row>
    <row r="104" spans="1:17" s="5" customFormat="1">
      <c r="A104" s="9"/>
      <c r="B104" s="11"/>
      <c r="C104" s="6"/>
      <c r="D104" s="6"/>
      <c r="E104" s="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9"/>
    </row>
    <row r="105" spans="1:17" s="5" customFormat="1">
      <c r="A105" s="9"/>
      <c r="B105" s="11"/>
      <c r="C105" s="6"/>
      <c r="D105" s="6"/>
      <c r="E105" s="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19"/>
    </row>
    <row r="106" spans="1:17" s="5" customFormat="1">
      <c r="A106" s="9"/>
      <c r="B106" s="11"/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9"/>
    </row>
    <row r="107" spans="1:17" s="5" customFormat="1">
      <c r="A107" s="9"/>
      <c r="B107" s="11"/>
      <c r="C107" s="6"/>
      <c r="D107" s="6"/>
      <c r="E107" s="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19"/>
    </row>
    <row r="108" spans="1:17" s="5" customFormat="1">
      <c r="A108" s="9"/>
      <c r="B108" s="11"/>
      <c r="C108" s="6"/>
      <c r="D108" s="6"/>
      <c r="E108" s="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19"/>
    </row>
    <row r="109" spans="1:17" s="5" customFormat="1">
      <c r="A109" s="9"/>
      <c r="B109" s="11"/>
      <c r="C109" s="6"/>
      <c r="D109" s="6"/>
      <c r="E109" s="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19"/>
    </row>
  </sheetData>
  <sheetProtection selectLockedCells="1" selectUnlockedCells="1"/>
  <mergeCells count="7">
    <mergeCell ref="M1:O1"/>
    <mergeCell ref="A38:B38"/>
    <mergeCell ref="Q1:Q3"/>
    <mergeCell ref="A1:B3"/>
    <mergeCell ref="C1:E1"/>
    <mergeCell ref="F1:L1"/>
    <mergeCell ref="P1:P2"/>
  </mergeCells>
  <printOptions horizontalCentered="1"/>
  <pageMargins left="0.11811023622047245" right="0.11811023622047245" top="0.94488188976377963" bottom="0.15748031496062992" header="0.31496062992125984" footer="0.31496062992125984"/>
  <pageSetup paperSize="9" scale="31" firstPageNumber="108" orientation="landscape" useFirstPageNumber="1" r:id="rId1"/>
  <headerFooter scaleWithDoc="0">
    <oddHeader>&amp;R
Приложение 1.</oddHeader>
    <oddFooter>&amp;C&amp;P</oddFooter>
  </headerFooter>
  <rowBreaks count="1" manualBreakCount="1">
    <brk id="17" max="27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32"/>
  <sheetViews>
    <sheetView zoomScaleNormal="100" workbookViewId="0">
      <pane xSplit="6" ySplit="9" topLeftCell="N133" activePane="bottomRight" state="frozen"/>
      <selection pane="topRight" activeCell="H1" sqref="H1"/>
      <selection pane="bottomLeft" activeCell="A15" sqref="A15"/>
      <selection pane="bottomRight" activeCell="S20" sqref="S20"/>
    </sheetView>
  </sheetViews>
  <sheetFormatPr defaultRowHeight="11.25"/>
  <cols>
    <col min="1" max="5" width="4" style="78" customWidth="1"/>
    <col min="6" max="6" width="53.42578125" style="49" customWidth="1"/>
    <col min="7" max="10" width="13.85546875" style="49" hidden="1" customWidth="1"/>
    <col min="11" max="13" width="12" style="49" hidden="1" customWidth="1"/>
    <col min="14" max="14" width="15.42578125" style="49" customWidth="1"/>
    <col min="15" max="16" width="9.140625" style="49"/>
    <col min="17" max="17" width="41.140625" style="49" customWidth="1"/>
    <col min="18" max="18" width="15.5703125" style="49" customWidth="1"/>
    <col min="19" max="19" width="14.7109375" style="49" customWidth="1"/>
    <col min="20" max="20" width="14.28515625" style="49" bestFit="1" customWidth="1"/>
    <col min="21" max="21" width="13" style="49" customWidth="1"/>
    <col min="22" max="22" width="9.140625" style="49"/>
    <col min="23" max="23" width="10.85546875" style="49" bestFit="1" customWidth="1"/>
    <col min="24" max="16384" width="9.140625" style="49"/>
  </cols>
  <sheetData>
    <row r="1" spans="1:24" s="44" customFormat="1" ht="15.75">
      <c r="A1" s="1309" t="s">
        <v>321</v>
      </c>
      <c r="B1" s="1309"/>
      <c r="C1" s="1309"/>
      <c r="D1" s="1309"/>
      <c r="E1" s="1309"/>
      <c r="F1" s="1309"/>
      <c r="G1" s="1309"/>
      <c r="H1" s="1309"/>
      <c r="I1" s="1309"/>
      <c r="J1" s="1309"/>
      <c r="K1" s="1309"/>
      <c r="L1" s="1309"/>
      <c r="M1" s="1309"/>
      <c r="N1" s="1309"/>
      <c r="P1" s="65" t="s">
        <v>620</v>
      </c>
      <c r="Q1" s="216">
        <f>Q2</f>
        <v>327219213.33686006</v>
      </c>
      <c r="R1" s="91" t="s">
        <v>618</v>
      </c>
      <c r="S1" s="215">
        <f>N12+N16+N21+N34+N48+N74+N98+N113+N126+N133+N144+N189</f>
        <v>517124863.42739999</v>
      </c>
      <c r="T1" s="44">
        <f>Q3/S2*100</f>
        <v>36.30040721933505</v>
      </c>
      <c r="U1" s="44">
        <f>Q2/S2*100</f>
        <v>63.699592780664936</v>
      </c>
    </row>
    <row r="2" spans="1:24" s="44" customFormat="1" ht="22.5">
      <c r="A2" s="1309" t="s">
        <v>1484</v>
      </c>
      <c r="B2" s="1309"/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P2" s="91">
        <v>11</v>
      </c>
      <c r="Q2" s="215">
        <f>N14+N18+N23+N26+N29+N36+N39+N45+N55+N53+N58+N61+N64+N67+N70+N72+N76+N79+N81+N83+N85+N88+N90+N93+N95+N105+N111+N108+N118+N120+N123+N128+N131+N135+N138+N146+N149+N152+N156+N194+N191+N197</f>
        <v>327219213.33686006</v>
      </c>
      <c r="R2" s="91" t="s">
        <v>617</v>
      </c>
      <c r="S2" s="215">
        <f>Q1+Q3</f>
        <v>513691216.93378007</v>
      </c>
      <c r="T2" s="215">
        <f>T1*S1/100</f>
        <v>187718431.25657642</v>
      </c>
      <c r="U2" s="215">
        <f>U1*S1/100</f>
        <v>329406432.17082345</v>
      </c>
    </row>
    <row r="3" spans="1:24" s="44" customFormat="1" ht="15.75">
      <c r="A3" s="66"/>
      <c r="B3" s="42"/>
      <c r="C3" s="42"/>
      <c r="D3" s="42"/>
      <c r="E3" s="42"/>
      <c r="F3" s="43"/>
      <c r="G3" s="43"/>
      <c r="H3" s="45"/>
      <c r="I3" s="43"/>
      <c r="J3" s="43"/>
      <c r="K3" s="43"/>
      <c r="L3" s="43"/>
      <c r="M3" s="43"/>
      <c r="N3" s="67"/>
      <c r="P3" s="65" t="s">
        <v>621</v>
      </c>
      <c r="Q3" s="216">
        <f>SUM(Q4:Q9)</f>
        <v>186472003.59691998</v>
      </c>
      <c r="R3" s="44" t="s">
        <v>619</v>
      </c>
      <c r="S3" s="215">
        <f>S1-S2</f>
        <v>3433646.4936199188</v>
      </c>
    </row>
    <row r="4" spans="1:24" s="48" customFormat="1" ht="12.75">
      <c r="A4" s="46" t="s">
        <v>500</v>
      </c>
      <c r="B4" s="46"/>
      <c r="C4" s="46"/>
      <c r="D4" s="46"/>
      <c r="E4" s="46"/>
      <c r="F4" s="47" t="s">
        <v>1485</v>
      </c>
      <c r="N4" s="68"/>
      <c r="P4" s="91">
        <v>15</v>
      </c>
      <c r="Q4" s="215">
        <f>N15+N19+N24+N27+N30+N37+N40+N43+N51+N56+N59+N62+N65+N68+N73+N77+N86+N91+N96+N106+N109+N112+N121+N124+N129+N132+N136+N147+N150+N153+N157+N160+N163+N192+N195+N198+N201+N203+N206</f>
        <v>164109220.20106</v>
      </c>
    </row>
    <row r="5" spans="1:24" ht="22.5">
      <c r="A5" s="46" t="s">
        <v>501</v>
      </c>
      <c r="B5" s="46"/>
      <c r="C5" s="46"/>
      <c r="D5" s="46"/>
      <c r="E5" s="46"/>
      <c r="F5" s="47" t="s">
        <v>228</v>
      </c>
      <c r="G5" s="48"/>
      <c r="H5" s="48"/>
      <c r="P5" s="91" t="s">
        <v>616</v>
      </c>
      <c r="Q5" s="215">
        <f>N33+N46+N158+N161+N199+N204</f>
        <v>149557.60750000001</v>
      </c>
      <c r="U5" s="56"/>
      <c r="W5" s="56"/>
      <c r="X5" s="56"/>
    </row>
    <row r="6" spans="1:24" s="69" customFormat="1" ht="42.75" customHeight="1">
      <c r="A6" s="1310" t="s">
        <v>229</v>
      </c>
      <c r="B6" s="1311"/>
      <c r="C6" s="1311"/>
      <c r="D6" s="1311"/>
      <c r="E6" s="1311"/>
      <c r="F6" s="1304" t="s">
        <v>230</v>
      </c>
      <c r="G6" s="1304" t="s">
        <v>502</v>
      </c>
      <c r="H6" s="1304" t="s">
        <v>503</v>
      </c>
      <c r="I6" s="1304" t="s">
        <v>231</v>
      </c>
      <c r="J6" s="1314" t="s">
        <v>504</v>
      </c>
      <c r="K6" s="1315"/>
      <c r="L6" s="1304" t="s">
        <v>505</v>
      </c>
      <c r="M6" s="1304" t="s">
        <v>506</v>
      </c>
      <c r="N6" s="1304" t="s">
        <v>232</v>
      </c>
      <c r="P6" s="91">
        <v>101</v>
      </c>
      <c r="Q6" s="215">
        <f>N100+N115</f>
        <v>163034.26381999999</v>
      </c>
      <c r="S6" s="215"/>
      <c r="T6" s="49"/>
      <c r="U6" s="432"/>
      <c r="V6" s="432"/>
    </row>
    <row r="7" spans="1:24" s="69" customFormat="1" ht="35.25" customHeight="1">
      <c r="A7" s="1312"/>
      <c r="B7" s="1313"/>
      <c r="C7" s="1313"/>
      <c r="D7" s="1313"/>
      <c r="E7" s="1313"/>
      <c r="F7" s="1305"/>
      <c r="G7" s="1305"/>
      <c r="H7" s="1305"/>
      <c r="I7" s="1305"/>
      <c r="J7" s="188" t="s">
        <v>508</v>
      </c>
      <c r="K7" s="188" t="s">
        <v>509</v>
      </c>
      <c r="L7" s="1305"/>
      <c r="M7" s="1305"/>
      <c r="N7" s="1305"/>
      <c r="P7" s="91">
        <v>102</v>
      </c>
      <c r="Q7" s="215">
        <f>N101</f>
        <v>51188.463830000001</v>
      </c>
      <c r="S7" s="215"/>
      <c r="U7" s="432"/>
    </row>
    <row r="8" spans="1:24" ht="11.25" customHeight="1">
      <c r="A8" s="1307" t="s">
        <v>234</v>
      </c>
      <c r="B8" s="1308"/>
      <c r="C8" s="1308"/>
      <c r="D8" s="1308"/>
      <c r="E8" s="1308"/>
      <c r="F8" s="70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>
        <v>8</v>
      </c>
      <c r="M8" s="71">
        <v>9</v>
      </c>
      <c r="N8" s="71">
        <v>10</v>
      </c>
      <c r="P8" s="91">
        <v>103</v>
      </c>
      <c r="Q8" s="215">
        <f>N102</f>
        <v>95761.162710000004</v>
      </c>
    </row>
    <row r="9" spans="1:24" ht="12.75">
      <c r="A9" s="72"/>
      <c r="B9" s="72"/>
      <c r="C9" s="72"/>
      <c r="D9" s="72"/>
      <c r="E9" s="72"/>
      <c r="F9" s="50" t="s">
        <v>235</v>
      </c>
      <c r="G9" s="51">
        <v>3525572351</v>
      </c>
      <c r="H9" s="51">
        <v>3746811721.9980001</v>
      </c>
      <c r="I9" s="51">
        <v>3843649373.0999999</v>
      </c>
      <c r="J9" s="51">
        <v>3843649373.0999999</v>
      </c>
      <c r="K9" s="51">
        <v>3843649373.0999999</v>
      </c>
      <c r="L9" s="51">
        <v>3826711749.9900999</v>
      </c>
      <c r="M9" s="51">
        <f>L9-N9</f>
        <v>10389043.40019989</v>
      </c>
      <c r="N9" s="51">
        <v>3816322706.5899</v>
      </c>
      <c r="P9" s="91">
        <v>104</v>
      </c>
      <c r="Q9" s="215">
        <f>N116+N103</f>
        <v>21903241.898000002</v>
      </c>
    </row>
    <row r="10" spans="1:24" ht="12">
      <c r="A10" s="72" t="s">
        <v>236</v>
      </c>
      <c r="B10" s="72"/>
      <c r="C10" s="72"/>
      <c r="D10" s="72"/>
      <c r="E10" s="72"/>
      <c r="F10" s="50" t="s">
        <v>237</v>
      </c>
      <c r="G10" s="51">
        <v>531514352</v>
      </c>
      <c r="H10" s="51">
        <v>572960091.60000002</v>
      </c>
      <c r="I10" s="51">
        <v>573793938.10000002</v>
      </c>
      <c r="J10" s="51">
        <v>573793938.10000002</v>
      </c>
      <c r="K10" s="51">
        <v>573793938.10000002</v>
      </c>
      <c r="L10" s="51">
        <v>571654324.99969995</v>
      </c>
      <c r="M10" s="51">
        <f t="shared" ref="M10:M42" si="0">L10-N10</f>
        <v>1087518.0061999559</v>
      </c>
      <c r="N10" s="51">
        <v>570566806.99349999</v>
      </c>
    </row>
    <row r="11" spans="1:24">
      <c r="A11" s="74"/>
      <c r="B11" s="74" t="s">
        <v>238</v>
      </c>
      <c r="C11" s="74"/>
      <c r="D11" s="74"/>
      <c r="E11" s="74"/>
      <c r="F11" s="52" t="s">
        <v>239</v>
      </c>
      <c r="G11" s="53">
        <v>3040230</v>
      </c>
      <c r="H11" s="53">
        <v>3110640.4</v>
      </c>
      <c r="I11" s="53">
        <v>3110640.4</v>
      </c>
      <c r="J11" s="53">
        <v>3110640.4</v>
      </c>
      <c r="K11" s="53">
        <v>3110640.4</v>
      </c>
      <c r="L11" s="53">
        <v>3110584.9005999998</v>
      </c>
      <c r="M11" s="53">
        <f t="shared" si="0"/>
        <v>127.20569999981672</v>
      </c>
      <c r="N11" s="53">
        <v>3110457.6949</v>
      </c>
    </row>
    <row r="12" spans="1:24">
      <c r="A12" s="76"/>
      <c r="B12" s="76"/>
      <c r="C12" s="76" t="s">
        <v>322</v>
      </c>
      <c r="D12" s="76"/>
      <c r="E12" s="76"/>
      <c r="F12" s="84" t="s">
        <v>323</v>
      </c>
      <c r="G12" s="55">
        <v>2234564</v>
      </c>
      <c r="H12" s="55">
        <v>2296691</v>
      </c>
      <c r="I12" s="55">
        <v>2296691</v>
      </c>
      <c r="J12" s="55">
        <v>2296691</v>
      </c>
      <c r="K12" s="55">
        <v>2296691</v>
      </c>
      <c r="L12" s="55">
        <v>2296635.9619999998</v>
      </c>
      <c r="M12" s="55">
        <f t="shared" si="0"/>
        <v>127.20569999981672</v>
      </c>
      <c r="N12" s="55">
        <v>2296508.7563</v>
      </c>
      <c r="P12" s="69"/>
      <c r="Q12" s="69"/>
      <c r="R12" s="200" t="s">
        <v>8</v>
      </c>
      <c r="S12" s="200" t="s">
        <v>9</v>
      </c>
    </row>
    <row r="13" spans="1:24" ht="42">
      <c r="D13" s="85" t="s">
        <v>285</v>
      </c>
      <c r="F13" s="79" t="s">
        <v>324</v>
      </c>
      <c r="G13" s="56">
        <v>2234564</v>
      </c>
      <c r="H13" s="56">
        <v>2296691</v>
      </c>
      <c r="I13" s="56">
        <v>2296691</v>
      </c>
      <c r="J13" s="56">
        <v>2296691</v>
      </c>
      <c r="K13" s="56">
        <v>2296691</v>
      </c>
      <c r="L13" s="56">
        <v>2296635.9619999998</v>
      </c>
      <c r="M13" s="56">
        <f t="shared" si="0"/>
        <v>127.20569999981672</v>
      </c>
      <c r="N13" s="56">
        <v>2296508.7563</v>
      </c>
      <c r="P13" s="69"/>
      <c r="Q13" s="69"/>
      <c r="R13" s="201" t="s">
        <v>11</v>
      </c>
      <c r="S13" s="201" t="s">
        <v>12</v>
      </c>
    </row>
    <row r="14" spans="1:24" ht="21.75" customHeight="1">
      <c r="E14" s="78" t="s">
        <v>261</v>
      </c>
      <c r="F14" s="79" t="s">
        <v>325</v>
      </c>
      <c r="G14" s="56">
        <v>0</v>
      </c>
      <c r="H14" s="56">
        <v>0</v>
      </c>
      <c r="I14" s="56">
        <v>47659</v>
      </c>
      <c r="J14" s="56">
        <v>47659</v>
      </c>
      <c r="K14" s="56">
        <v>47659</v>
      </c>
      <c r="L14" s="56">
        <v>47604.671999999999</v>
      </c>
      <c r="M14" s="56">
        <f t="shared" si="0"/>
        <v>5.0199999968754128E-3</v>
      </c>
      <c r="N14" s="56">
        <v>47604.666980000002</v>
      </c>
      <c r="P14" s="202" t="s">
        <v>25</v>
      </c>
      <c r="Q14" s="203" t="s">
        <v>26</v>
      </c>
      <c r="R14" s="210">
        <f>SUM(R15:R20)</f>
        <v>366196949.3546834</v>
      </c>
      <c r="S14" s="210">
        <f>SUM(S15:S20)</f>
        <v>204369857.63879642</v>
      </c>
      <c r="T14" s="92">
        <f>SUM(R14:S14)</f>
        <v>570566806.99347985</v>
      </c>
    </row>
    <row r="15" spans="1:24" ht="20.25" customHeight="1">
      <c r="E15" s="78" t="s">
        <v>326</v>
      </c>
      <c r="F15" s="79" t="s">
        <v>327</v>
      </c>
      <c r="G15" s="56">
        <v>0</v>
      </c>
      <c r="H15" s="56">
        <v>0</v>
      </c>
      <c r="I15" s="56">
        <v>2249032</v>
      </c>
      <c r="J15" s="56">
        <v>2249032</v>
      </c>
      <c r="K15" s="56">
        <v>2249032</v>
      </c>
      <c r="L15" s="56">
        <v>2249031.2900399999</v>
      </c>
      <c r="M15" s="56">
        <f t="shared" si="0"/>
        <v>127.20069999992847</v>
      </c>
      <c r="N15" s="56">
        <v>2248904.0893399999</v>
      </c>
      <c r="P15" s="204" t="s">
        <v>27</v>
      </c>
      <c r="Q15" s="205" t="s">
        <v>28</v>
      </c>
      <c r="R15" s="211">
        <f>U2</f>
        <v>329406432.17082345</v>
      </c>
      <c r="S15" s="211">
        <f>T2</f>
        <v>187718431.25657642</v>
      </c>
    </row>
    <row r="16" spans="1:24" ht="19.5" customHeight="1">
      <c r="A16" s="76"/>
      <c r="B16" s="76"/>
      <c r="C16" s="76" t="s">
        <v>328</v>
      </c>
      <c r="D16" s="76"/>
      <c r="E16" s="76"/>
      <c r="F16" s="199" t="s">
        <v>329</v>
      </c>
      <c r="G16" s="55">
        <v>805666</v>
      </c>
      <c r="H16" s="55">
        <v>813949.4</v>
      </c>
      <c r="I16" s="55">
        <v>813949.4</v>
      </c>
      <c r="J16" s="55">
        <v>813949.4</v>
      </c>
      <c r="K16" s="55">
        <v>813949.4</v>
      </c>
      <c r="L16" s="55">
        <v>813948.93859999999</v>
      </c>
      <c r="M16" s="55">
        <f t="shared" si="0"/>
        <v>0</v>
      </c>
      <c r="N16" s="55">
        <v>813948.93859999999</v>
      </c>
      <c r="P16" s="204" t="s">
        <v>29</v>
      </c>
      <c r="Q16" s="206" t="s">
        <v>30</v>
      </c>
      <c r="R16" s="212"/>
      <c r="S16" s="213"/>
    </row>
    <row r="17" spans="1:19" ht="42.75" customHeight="1">
      <c r="D17" s="85" t="s">
        <v>285</v>
      </c>
      <c r="F17" s="79" t="s">
        <v>330</v>
      </c>
      <c r="G17" s="56">
        <v>805666</v>
      </c>
      <c r="H17" s="56">
        <v>813949.4</v>
      </c>
      <c r="I17" s="56">
        <v>813949.4</v>
      </c>
      <c r="J17" s="56">
        <v>813949.4</v>
      </c>
      <c r="K17" s="56">
        <v>813949.4</v>
      </c>
      <c r="L17" s="56">
        <v>813948.93859999999</v>
      </c>
      <c r="M17" s="56">
        <f t="shared" si="0"/>
        <v>0</v>
      </c>
      <c r="N17" s="56">
        <v>813948.93859999999</v>
      </c>
      <c r="P17" s="204" t="s">
        <v>31</v>
      </c>
      <c r="Q17" s="207" t="s">
        <v>32</v>
      </c>
      <c r="R17" s="212">
        <f>N170+N173+N210+N213+N216</f>
        <v>27480641.764030002</v>
      </c>
      <c r="S17" s="212">
        <f>N171+N174+N211+N214+N217</f>
        <v>11233196.3599</v>
      </c>
    </row>
    <row r="18" spans="1:19" ht="20.25" customHeight="1">
      <c r="E18" s="78" t="s">
        <v>261</v>
      </c>
      <c r="F18" s="79" t="s">
        <v>325</v>
      </c>
      <c r="G18" s="56">
        <v>0</v>
      </c>
      <c r="H18" s="56">
        <v>0</v>
      </c>
      <c r="I18" s="56">
        <v>32078</v>
      </c>
      <c r="J18" s="56">
        <v>32078</v>
      </c>
      <c r="K18" s="56">
        <v>32078</v>
      </c>
      <c r="L18" s="56">
        <v>32078</v>
      </c>
      <c r="M18" s="56">
        <f t="shared" si="0"/>
        <v>0</v>
      </c>
      <c r="N18" s="56">
        <v>32078</v>
      </c>
      <c r="P18" s="204" t="s">
        <v>33</v>
      </c>
      <c r="Q18" s="207" t="s">
        <v>34</v>
      </c>
      <c r="R18" s="212">
        <f>N177+N180</f>
        <v>6925914.4206299996</v>
      </c>
      <c r="S18" s="212">
        <f>N178+N181</f>
        <v>2455347.2374899997</v>
      </c>
    </row>
    <row r="19" spans="1:19" ht="22.5" customHeight="1">
      <c r="E19" s="78" t="s">
        <v>326</v>
      </c>
      <c r="F19" s="79" t="s">
        <v>327</v>
      </c>
      <c r="G19" s="56">
        <v>0</v>
      </c>
      <c r="H19" s="56">
        <v>0</v>
      </c>
      <c r="I19" s="56">
        <v>781871.4</v>
      </c>
      <c r="J19" s="56">
        <v>781871.4</v>
      </c>
      <c r="K19" s="56">
        <v>781871.4</v>
      </c>
      <c r="L19" s="56">
        <v>781870.93859000003</v>
      </c>
      <c r="M19" s="56">
        <f t="shared" si="0"/>
        <v>0</v>
      </c>
      <c r="N19" s="56">
        <v>781870.93859000003</v>
      </c>
      <c r="P19" s="204" t="s">
        <v>212</v>
      </c>
      <c r="Q19" s="208" t="s">
        <v>5</v>
      </c>
      <c r="R19" s="212">
        <f>N184+N187</f>
        <v>2383960.9992</v>
      </c>
      <c r="S19" s="212">
        <f>N185+N188</f>
        <v>2958598.3719300004</v>
      </c>
    </row>
    <row r="20" spans="1:19" ht="21" customHeight="1">
      <c r="A20" s="74"/>
      <c r="B20" s="74" t="s">
        <v>243</v>
      </c>
      <c r="C20" s="74"/>
      <c r="D20" s="74"/>
      <c r="E20" s="74"/>
      <c r="F20" s="52" t="s">
        <v>244</v>
      </c>
      <c r="G20" s="53">
        <v>14657383</v>
      </c>
      <c r="H20" s="53">
        <v>14474017.4</v>
      </c>
      <c r="I20" s="53">
        <v>14496773.9</v>
      </c>
      <c r="J20" s="53">
        <v>14496773.9</v>
      </c>
      <c r="K20" s="53">
        <v>14496773.9</v>
      </c>
      <c r="L20" s="53">
        <v>14495293.561000001</v>
      </c>
      <c r="M20" s="53">
        <f t="shared" si="0"/>
        <v>10150.694400001317</v>
      </c>
      <c r="N20" s="53">
        <v>14485142.866599999</v>
      </c>
      <c r="P20" s="204" t="s">
        <v>213</v>
      </c>
      <c r="Q20" s="209" t="s">
        <v>47</v>
      </c>
      <c r="R20" s="213"/>
      <c r="S20" s="212">
        <f>N143</f>
        <v>4284.4129000000003</v>
      </c>
    </row>
    <row r="21" spans="1:19">
      <c r="A21" s="76"/>
      <c r="B21" s="76"/>
      <c r="C21" s="76" t="s">
        <v>322</v>
      </c>
      <c r="D21" s="76"/>
      <c r="E21" s="76"/>
      <c r="F21" s="84" t="s">
        <v>323</v>
      </c>
      <c r="G21" s="55">
        <v>12475362</v>
      </c>
      <c r="H21" s="55">
        <v>12000686.6</v>
      </c>
      <c r="I21" s="55">
        <v>12020511.1</v>
      </c>
      <c r="J21" s="55">
        <v>12020511.1</v>
      </c>
      <c r="K21" s="55">
        <v>12020511.1</v>
      </c>
      <c r="L21" s="55">
        <v>12019048.9068</v>
      </c>
      <c r="M21" s="55">
        <f t="shared" si="0"/>
        <v>10150.694399999455</v>
      </c>
      <c r="N21" s="55">
        <v>12008898.212400001</v>
      </c>
    </row>
    <row r="22" spans="1:19" ht="21">
      <c r="D22" s="85" t="s">
        <v>318</v>
      </c>
      <c r="F22" s="79" t="s">
        <v>331</v>
      </c>
      <c r="G22" s="56">
        <v>7507936</v>
      </c>
      <c r="H22" s="56">
        <v>7470856</v>
      </c>
      <c r="I22" s="56">
        <v>7467016</v>
      </c>
      <c r="J22" s="56">
        <v>7467016</v>
      </c>
      <c r="K22" s="56">
        <v>7467016</v>
      </c>
      <c r="L22" s="56">
        <v>7467012.6595999999</v>
      </c>
      <c r="M22" s="56">
        <f t="shared" si="0"/>
        <v>9039.660000000149</v>
      </c>
      <c r="N22" s="56">
        <v>7457972.9995999997</v>
      </c>
    </row>
    <row r="23" spans="1:19">
      <c r="E23" s="78" t="s">
        <v>261</v>
      </c>
      <c r="F23" s="79" t="s">
        <v>325</v>
      </c>
      <c r="G23" s="56">
        <v>0</v>
      </c>
      <c r="H23" s="56">
        <v>0</v>
      </c>
      <c r="I23" s="56">
        <v>76880</v>
      </c>
      <c r="J23" s="56">
        <v>76880</v>
      </c>
      <c r="K23" s="56">
        <v>76880</v>
      </c>
      <c r="L23" s="56">
        <v>76879.253200000006</v>
      </c>
      <c r="M23" s="56">
        <f t="shared" si="0"/>
        <v>2.6600000000034925</v>
      </c>
      <c r="N23" s="56">
        <v>76876.593200000003</v>
      </c>
      <c r="Q23" s="56">
        <f>N12+N16+N21+N34+N48+N74+N98+N113+N126+N133+N144+N189</f>
        <v>517124863.42739999</v>
      </c>
    </row>
    <row r="24" spans="1:19">
      <c r="E24" s="78" t="s">
        <v>326</v>
      </c>
      <c r="F24" s="79" t="s">
        <v>327</v>
      </c>
      <c r="G24" s="56">
        <v>0</v>
      </c>
      <c r="H24" s="56">
        <v>0</v>
      </c>
      <c r="I24" s="56">
        <v>7390136</v>
      </c>
      <c r="J24" s="56">
        <v>7390136</v>
      </c>
      <c r="K24" s="56">
        <v>7390136</v>
      </c>
      <c r="L24" s="56">
        <v>7390133.4064999996</v>
      </c>
      <c r="M24" s="56">
        <f t="shared" si="0"/>
        <v>9037</v>
      </c>
      <c r="N24" s="56">
        <v>7381096.4064999996</v>
      </c>
    </row>
    <row r="25" spans="1:19">
      <c r="D25" s="85" t="s">
        <v>332</v>
      </c>
      <c r="F25" s="79" t="s">
        <v>333</v>
      </c>
      <c r="G25" s="56">
        <v>2953195</v>
      </c>
      <c r="H25" s="56">
        <v>2735257.2</v>
      </c>
      <c r="I25" s="56">
        <v>2732643.7</v>
      </c>
      <c r="J25" s="56">
        <v>2732643.7</v>
      </c>
      <c r="K25" s="56">
        <v>2732643.7</v>
      </c>
      <c r="L25" s="56">
        <v>2731335.4665999999</v>
      </c>
      <c r="M25" s="56">
        <f t="shared" si="0"/>
        <v>759.03109999978915</v>
      </c>
      <c r="N25" s="56">
        <v>2730576.4355000001</v>
      </c>
    </row>
    <row r="26" spans="1:19">
      <c r="E26" s="78" t="s">
        <v>261</v>
      </c>
      <c r="F26" s="79" t="s">
        <v>325</v>
      </c>
      <c r="G26" s="56">
        <v>0</v>
      </c>
      <c r="H26" s="56">
        <v>0</v>
      </c>
      <c r="I26" s="56">
        <v>113712.5</v>
      </c>
      <c r="J26" s="56">
        <v>113712.5</v>
      </c>
      <c r="K26" s="56">
        <v>113712.5</v>
      </c>
      <c r="L26" s="56">
        <v>112917.19899999999</v>
      </c>
      <c r="M26" s="56">
        <f t="shared" si="0"/>
        <v>0</v>
      </c>
      <c r="N26" s="56">
        <v>112917.19899999999</v>
      </c>
    </row>
    <row r="27" spans="1:19">
      <c r="E27" s="78" t="s">
        <v>326</v>
      </c>
      <c r="F27" s="79" t="s">
        <v>327</v>
      </c>
      <c r="G27" s="56">
        <v>0</v>
      </c>
      <c r="H27" s="56">
        <v>0</v>
      </c>
      <c r="I27" s="56">
        <v>2618931.2000000002</v>
      </c>
      <c r="J27" s="56">
        <v>2618931.2000000002</v>
      </c>
      <c r="K27" s="56">
        <v>2618931.2000000002</v>
      </c>
      <c r="L27" s="56">
        <v>2618418.2675999999</v>
      </c>
      <c r="M27" s="56">
        <f t="shared" si="0"/>
        <v>759.03099999995902</v>
      </c>
      <c r="N27" s="56">
        <v>2617659.2365999999</v>
      </c>
    </row>
    <row r="28" spans="1:19">
      <c r="D28" s="85" t="s">
        <v>334</v>
      </c>
      <c r="F28" s="79" t="s">
        <v>270</v>
      </c>
      <c r="G28" s="56">
        <v>2004816</v>
      </c>
      <c r="H28" s="56">
        <v>1786494</v>
      </c>
      <c r="I28" s="56">
        <v>1782980</v>
      </c>
      <c r="J28" s="56">
        <v>1782980</v>
      </c>
      <c r="K28" s="56">
        <v>1782980</v>
      </c>
      <c r="L28" s="56">
        <v>1782958.2346999999</v>
      </c>
      <c r="M28" s="56">
        <f t="shared" si="0"/>
        <v>352.00300000002608</v>
      </c>
      <c r="N28" s="56">
        <v>1782606.2316999999</v>
      </c>
    </row>
    <row r="29" spans="1:19">
      <c r="E29" s="78" t="s">
        <v>261</v>
      </c>
      <c r="F29" s="79" t="s">
        <v>325</v>
      </c>
      <c r="G29" s="56">
        <v>0</v>
      </c>
      <c r="H29" s="56">
        <v>0</v>
      </c>
      <c r="I29" s="56">
        <v>35026</v>
      </c>
      <c r="J29" s="56">
        <v>35026</v>
      </c>
      <c r="K29" s="56">
        <v>35026</v>
      </c>
      <c r="L29" s="56">
        <v>35018.263500000001</v>
      </c>
      <c r="M29" s="56">
        <f t="shared" si="0"/>
        <v>0</v>
      </c>
      <c r="N29" s="56">
        <v>35018.263500000001</v>
      </c>
    </row>
    <row r="30" spans="1:19">
      <c r="E30" s="78" t="s">
        <v>326</v>
      </c>
      <c r="F30" s="79" t="s">
        <v>327</v>
      </c>
      <c r="G30" s="56">
        <v>0</v>
      </c>
      <c r="H30" s="56">
        <v>0</v>
      </c>
      <c r="I30" s="56">
        <v>1747954</v>
      </c>
      <c r="J30" s="56">
        <v>1747954</v>
      </c>
      <c r="K30" s="56">
        <v>1747954</v>
      </c>
      <c r="L30" s="56">
        <v>1747939.9713000001</v>
      </c>
      <c r="M30" s="56">
        <f t="shared" si="0"/>
        <v>352.00300000002608</v>
      </c>
      <c r="N30" s="56">
        <v>1747587.9683000001</v>
      </c>
    </row>
    <row r="31" spans="1:19" ht="31.5">
      <c r="D31" s="85" t="s">
        <v>295</v>
      </c>
      <c r="F31" s="79" t="s">
        <v>335</v>
      </c>
      <c r="G31" s="56">
        <v>0</v>
      </c>
      <c r="H31" s="56">
        <v>0</v>
      </c>
      <c r="I31" s="56">
        <v>29792</v>
      </c>
      <c r="J31" s="56">
        <v>29792</v>
      </c>
      <c r="K31" s="56">
        <v>29792</v>
      </c>
      <c r="L31" s="56">
        <v>29787.408800000001</v>
      </c>
      <c r="M31" s="56">
        <f t="shared" si="0"/>
        <v>2.9999999969732016E-4</v>
      </c>
      <c r="N31" s="56">
        <v>29787.408500000001</v>
      </c>
    </row>
    <row r="32" spans="1:19">
      <c r="E32" s="78" t="s">
        <v>261</v>
      </c>
      <c r="F32" s="79" t="s">
        <v>325</v>
      </c>
      <c r="G32" s="56">
        <v>0</v>
      </c>
      <c r="H32" s="56">
        <v>0</v>
      </c>
      <c r="I32" s="56">
        <v>29792</v>
      </c>
      <c r="J32" s="56">
        <v>29792</v>
      </c>
      <c r="K32" s="56">
        <v>29792</v>
      </c>
      <c r="L32" s="56">
        <v>29787.4087</v>
      </c>
      <c r="M32" s="56">
        <f t="shared" si="0"/>
        <v>1.0000000111176632E-4</v>
      </c>
      <c r="N32" s="56">
        <v>29787.408599999999</v>
      </c>
    </row>
    <row r="33" spans="1:14">
      <c r="D33" s="85" t="s">
        <v>301</v>
      </c>
      <c r="F33" s="79" t="s">
        <v>336</v>
      </c>
      <c r="G33" s="56">
        <v>9415</v>
      </c>
      <c r="H33" s="56">
        <v>8079.4</v>
      </c>
      <c r="I33" s="56">
        <v>8079.4</v>
      </c>
      <c r="J33" s="56">
        <v>8079.4</v>
      </c>
      <c r="K33" s="56">
        <v>8079.4</v>
      </c>
      <c r="L33" s="56">
        <v>7955.1369999999997</v>
      </c>
      <c r="M33" s="56">
        <f t="shared" si="0"/>
        <v>0</v>
      </c>
      <c r="N33" s="56">
        <v>7955.1369999999997</v>
      </c>
    </row>
    <row r="34" spans="1:14" ht="22.5">
      <c r="A34" s="76"/>
      <c r="B34" s="76"/>
      <c r="C34" s="76" t="s">
        <v>328</v>
      </c>
      <c r="D34" s="76"/>
      <c r="E34" s="76"/>
      <c r="F34" s="199" t="s">
        <v>329</v>
      </c>
      <c r="G34" s="55">
        <v>2182021</v>
      </c>
      <c r="H34" s="55">
        <v>2473330.7999999998</v>
      </c>
      <c r="I34" s="55">
        <v>2476262.7999999998</v>
      </c>
      <c r="J34" s="55">
        <v>2476262.7999999998</v>
      </c>
      <c r="K34" s="55">
        <v>2476262.7999999998</v>
      </c>
      <c r="L34" s="55">
        <v>2476244.6542000002</v>
      </c>
      <c r="M34" s="55">
        <f t="shared" si="0"/>
        <v>0</v>
      </c>
      <c r="N34" s="55">
        <v>2476244.6542000002</v>
      </c>
    </row>
    <row r="35" spans="1:14" ht="21">
      <c r="D35" s="85" t="s">
        <v>318</v>
      </c>
      <c r="F35" s="79" t="s">
        <v>331</v>
      </c>
      <c r="G35" s="56">
        <v>1235844</v>
      </c>
      <c r="H35" s="56">
        <v>1603629.1</v>
      </c>
      <c r="I35" s="56">
        <v>1603629.1</v>
      </c>
      <c r="J35" s="56">
        <v>1603629.1</v>
      </c>
      <c r="K35" s="56">
        <v>1603629.1</v>
      </c>
      <c r="L35" s="56">
        <v>1603628.9016</v>
      </c>
      <c r="M35" s="56">
        <f t="shared" si="0"/>
        <v>0</v>
      </c>
      <c r="N35" s="56">
        <v>1603628.9016</v>
      </c>
    </row>
    <row r="36" spans="1:14">
      <c r="E36" s="78" t="s">
        <v>261</v>
      </c>
      <c r="F36" s="79" t="s">
        <v>325</v>
      </c>
      <c r="G36" s="56">
        <v>0</v>
      </c>
      <c r="H36" s="56">
        <v>0</v>
      </c>
      <c r="I36" s="56">
        <v>8468</v>
      </c>
      <c r="J36" s="56">
        <v>8468</v>
      </c>
      <c r="K36" s="56">
        <v>8468</v>
      </c>
      <c r="L36" s="56">
        <v>8468</v>
      </c>
      <c r="M36" s="56">
        <f t="shared" si="0"/>
        <v>0</v>
      </c>
      <c r="N36" s="56">
        <v>8468</v>
      </c>
    </row>
    <row r="37" spans="1:14">
      <c r="E37" s="78" t="s">
        <v>326</v>
      </c>
      <c r="F37" s="79" t="s">
        <v>327</v>
      </c>
      <c r="G37" s="56">
        <v>0</v>
      </c>
      <c r="H37" s="56">
        <v>0</v>
      </c>
      <c r="I37" s="56">
        <v>1595161.1</v>
      </c>
      <c r="J37" s="56">
        <v>1595161.1</v>
      </c>
      <c r="K37" s="56">
        <v>1595161.1</v>
      </c>
      <c r="L37" s="56">
        <v>1595160.9015800001</v>
      </c>
      <c r="M37" s="56">
        <f t="shared" si="0"/>
        <v>0</v>
      </c>
      <c r="N37" s="56">
        <v>1595160.9015800001</v>
      </c>
    </row>
    <row r="38" spans="1:14">
      <c r="D38" s="85" t="s">
        <v>332</v>
      </c>
      <c r="F38" s="79" t="s">
        <v>333</v>
      </c>
      <c r="G38" s="56">
        <v>578401</v>
      </c>
      <c r="H38" s="56">
        <v>502137.59999999998</v>
      </c>
      <c r="I38" s="56">
        <v>502137.59999999998</v>
      </c>
      <c r="J38" s="56">
        <v>502137.59999999998</v>
      </c>
      <c r="K38" s="56">
        <v>502137.59999999998</v>
      </c>
      <c r="L38" s="56">
        <v>502133.935</v>
      </c>
      <c r="M38" s="56">
        <f t="shared" si="0"/>
        <v>0</v>
      </c>
      <c r="N38" s="56">
        <v>502133.935</v>
      </c>
    </row>
    <row r="39" spans="1:14">
      <c r="E39" s="78" t="s">
        <v>261</v>
      </c>
      <c r="F39" s="79" t="s">
        <v>325</v>
      </c>
      <c r="G39" s="56">
        <v>0</v>
      </c>
      <c r="H39" s="56">
        <v>0</v>
      </c>
      <c r="I39" s="56">
        <v>21720</v>
      </c>
      <c r="J39" s="56">
        <v>21720</v>
      </c>
      <c r="K39" s="56">
        <v>21720</v>
      </c>
      <c r="L39" s="56">
        <v>21720</v>
      </c>
      <c r="M39" s="56">
        <f t="shared" si="0"/>
        <v>0</v>
      </c>
      <c r="N39" s="56">
        <v>21720</v>
      </c>
    </row>
    <row r="40" spans="1:14">
      <c r="E40" s="78" t="s">
        <v>326</v>
      </c>
      <c r="F40" s="79" t="s">
        <v>327</v>
      </c>
      <c r="G40" s="56">
        <v>0</v>
      </c>
      <c r="H40" s="56">
        <v>0</v>
      </c>
      <c r="I40" s="56">
        <v>480417.6</v>
      </c>
      <c r="J40" s="56">
        <v>480417.6</v>
      </c>
      <c r="K40" s="56">
        <v>480417.6</v>
      </c>
      <c r="L40" s="56">
        <v>480413.9351</v>
      </c>
      <c r="M40" s="56">
        <f t="shared" si="0"/>
        <v>0</v>
      </c>
      <c r="N40" s="56">
        <v>480413.9351</v>
      </c>
    </row>
    <row r="41" spans="1:14">
      <c r="D41" s="85" t="s">
        <v>334</v>
      </c>
      <c r="F41" s="79" t="s">
        <v>270</v>
      </c>
      <c r="G41" s="56">
        <v>365430</v>
      </c>
      <c r="H41" s="56">
        <v>365269.1</v>
      </c>
      <c r="I41" s="56">
        <v>365269.1</v>
      </c>
      <c r="J41" s="56">
        <v>365269.1</v>
      </c>
      <c r="K41" s="56">
        <v>365269.1</v>
      </c>
      <c r="L41" s="56">
        <v>365269</v>
      </c>
      <c r="M41" s="56">
        <f t="shared" si="0"/>
        <v>0</v>
      </c>
      <c r="N41" s="56">
        <v>365269</v>
      </c>
    </row>
    <row r="42" spans="1:14">
      <c r="E42" s="78" t="s">
        <v>261</v>
      </c>
      <c r="F42" s="79" t="s">
        <v>325</v>
      </c>
      <c r="G42" s="56">
        <v>0</v>
      </c>
      <c r="H42" s="56">
        <v>0</v>
      </c>
      <c r="I42" s="56">
        <v>2543</v>
      </c>
      <c r="J42" s="56">
        <v>2543</v>
      </c>
      <c r="K42" s="56">
        <v>2543</v>
      </c>
      <c r="L42" s="56">
        <v>2543</v>
      </c>
      <c r="M42" s="56">
        <f t="shared" si="0"/>
        <v>0</v>
      </c>
      <c r="N42" s="56">
        <v>2543</v>
      </c>
    </row>
    <row r="43" spans="1:14">
      <c r="E43" s="78" t="s">
        <v>326</v>
      </c>
      <c r="F43" s="79" t="s">
        <v>327</v>
      </c>
      <c r="G43" s="56">
        <v>0</v>
      </c>
      <c r="H43" s="56">
        <v>0</v>
      </c>
      <c r="I43" s="56">
        <v>362726.1</v>
      </c>
      <c r="J43" s="56">
        <v>362726.1</v>
      </c>
      <c r="K43" s="56">
        <v>362726.1</v>
      </c>
      <c r="L43" s="56">
        <v>362726</v>
      </c>
      <c r="M43" s="56">
        <f t="shared" ref="M43:M106" si="1">L43-N43</f>
        <v>0</v>
      </c>
      <c r="N43" s="56">
        <v>362726</v>
      </c>
    </row>
    <row r="44" spans="1:14" ht="31.5">
      <c r="D44" s="85" t="s">
        <v>295</v>
      </c>
      <c r="F44" s="79" t="s">
        <v>335</v>
      </c>
      <c r="G44" s="56">
        <v>0</v>
      </c>
      <c r="H44" s="56">
        <v>0</v>
      </c>
      <c r="I44" s="56">
        <v>2932</v>
      </c>
      <c r="J44" s="56">
        <v>2932</v>
      </c>
      <c r="K44" s="56">
        <v>2932</v>
      </c>
      <c r="L44" s="56">
        <v>2930.4956000000002</v>
      </c>
      <c r="M44" s="56">
        <f t="shared" si="1"/>
        <v>0</v>
      </c>
      <c r="N44" s="56">
        <v>2930.4956000000002</v>
      </c>
    </row>
    <row r="45" spans="1:14">
      <c r="E45" s="78" t="s">
        <v>261</v>
      </c>
      <c r="F45" s="79" t="s">
        <v>325</v>
      </c>
      <c r="G45" s="56">
        <v>0</v>
      </c>
      <c r="H45" s="56">
        <v>0</v>
      </c>
      <c r="I45" s="56">
        <v>2932</v>
      </c>
      <c r="J45" s="56">
        <v>2932</v>
      </c>
      <c r="K45" s="56">
        <v>2932</v>
      </c>
      <c r="L45" s="56">
        <v>2930.4956000000002</v>
      </c>
      <c r="M45" s="56">
        <f t="shared" si="1"/>
        <v>0</v>
      </c>
      <c r="N45" s="56">
        <v>2930.4956000000002</v>
      </c>
    </row>
    <row r="46" spans="1:14">
      <c r="D46" s="85" t="s">
        <v>301</v>
      </c>
      <c r="F46" s="79" t="s">
        <v>336</v>
      </c>
      <c r="G46" s="56">
        <v>2346</v>
      </c>
      <c r="H46" s="56">
        <v>2295</v>
      </c>
      <c r="I46" s="56">
        <v>2295</v>
      </c>
      <c r="J46" s="56">
        <v>2295</v>
      </c>
      <c r="K46" s="56">
        <v>2295</v>
      </c>
      <c r="L46" s="56">
        <v>2282.3220000000001</v>
      </c>
      <c r="M46" s="56">
        <f t="shared" si="1"/>
        <v>0</v>
      </c>
      <c r="N46" s="56">
        <v>2282.3220000000001</v>
      </c>
    </row>
    <row r="47" spans="1:14">
      <c r="A47" s="74"/>
      <c r="B47" s="74" t="s">
        <v>337</v>
      </c>
      <c r="C47" s="74"/>
      <c r="D47" s="74"/>
      <c r="E47" s="74"/>
      <c r="F47" s="52" t="s">
        <v>338</v>
      </c>
      <c r="G47" s="53">
        <v>157094236</v>
      </c>
      <c r="H47" s="53">
        <v>163957348.40000001</v>
      </c>
      <c r="I47" s="53">
        <v>163332237.40000001</v>
      </c>
      <c r="J47" s="53">
        <v>163332237.40000001</v>
      </c>
      <c r="K47" s="53">
        <v>163332237.40000001</v>
      </c>
      <c r="L47" s="53">
        <v>163205221.62290001</v>
      </c>
      <c r="M47" s="53">
        <f t="shared" si="1"/>
        <v>40824.327100008726</v>
      </c>
      <c r="N47" s="53">
        <v>163164397.2958</v>
      </c>
    </row>
    <row r="48" spans="1:14">
      <c r="A48" s="76"/>
      <c r="B48" s="76"/>
      <c r="C48" s="76" t="s">
        <v>322</v>
      </c>
      <c r="D48" s="76"/>
      <c r="E48" s="76"/>
      <c r="F48" s="84" t="s">
        <v>323</v>
      </c>
      <c r="G48" s="55">
        <v>127958702</v>
      </c>
      <c r="H48" s="55">
        <v>134909860.09999999</v>
      </c>
      <c r="I48" s="55">
        <v>134284749.09999999</v>
      </c>
      <c r="J48" s="55">
        <v>134284749.09999999</v>
      </c>
      <c r="K48" s="55">
        <v>134284749.09999999</v>
      </c>
      <c r="L48" s="55">
        <v>134194322.228</v>
      </c>
      <c r="M48" s="55">
        <f t="shared" si="1"/>
        <v>40824.327099993825</v>
      </c>
      <c r="N48" s="55">
        <v>134153497.90090001</v>
      </c>
    </row>
    <row r="49" spans="4:17" ht="31.5">
      <c r="D49" s="78" t="s">
        <v>253</v>
      </c>
      <c r="F49" s="79" t="s">
        <v>339</v>
      </c>
      <c r="G49" s="56">
        <v>65026368</v>
      </c>
      <c r="H49" s="56">
        <v>62674299.899999999</v>
      </c>
      <c r="I49" s="56">
        <v>62616478.899999999</v>
      </c>
      <c r="J49" s="56">
        <v>62616478.899999999</v>
      </c>
      <c r="K49" s="56">
        <v>62616478.899999999</v>
      </c>
      <c r="L49" s="56">
        <v>62604521.272399999</v>
      </c>
      <c r="M49" s="56">
        <f t="shared" si="1"/>
        <v>23824.324799999595</v>
      </c>
      <c r="N49" s="56">
        <v>62580696.9476</v>
      </c>
    </row>
    <row r="50" spans="4:17">
      <c r="E50" s="78" t="s">
        <v>261</v>
      </c>
      <c r="F50" s="79" t="s">
        <v>325</v>
      </c>
      <c r="G50" s="56">
        <v>0</v>
      </c>
      <c r="H50" s="56">
        <v>0</v>
      </c>
      <c r="I50" s="56">
        <v>2733722.1</v>
      </c>
      <c r="J50" s="56">
        <v>2733722.1</v>
      </c>
      <c r="K50" s="56">
        <v>2733722.1</v>
      </c>
      <c r="L50" s="56">
        <v>2731549.1984000001</v>
      </c>
      <c r="M50" s="56">
        <f t="shared" si="1"/>
        <v>6856.8804000001401</v>
      </c>
      <c r="N50" s="56">
        <v>2724692.318</v>
      </c>
    </row>
    <row r="51" spans="4:17">
      <c r="E51" s="78" t="s">
        <v>326</v>
      </c>
      <c r="F51" s="79" t="s">
        <v>327</v>
      </c>
      <c r="G51" s="56">
        <v>0</v>
      </c>
      <c r="H51" s="56">
        <v>0</v>
      </c>
      <c r="I51" s="56">
        <v>59882756.799999997</v>
      </c>
      <c r="J51" s="56">
        <v>59882756.799999997</v>
      </c>
      <c r="K51" s="56">
        <v>59882756.799999997</v>
      </c>
      <c r="L51" s="56">
        <v>59872972.074000001</v>
      </c>
      <c r="M51" s="56">
        <f t="shared" si="1"/>
        <v>16967.444499999285</v>
      </c>
      <c r="N51" s="56">
        <v>59856004.629500002</v>
      </c>
    </row>
    <row r="52" spans="4:17">
      <c r="D52" s="85" t="s">
        <v>249</v>
      </c>
      <c r="F52" s="79" t="s">
        <v>340</v>
      </c>
      <c r="G52" s="56">
        <v>3332822</v>
      </c>
      <c r="H52" s="56">
        <v>3714157</v>
      </c>
      <c r="I52" s="56">
        <v>3775632</v>
      </c>
      <c r="J52" s="56">
        <v>3775632</v>
      </c>
      <c r="K52" s="56">
        <v>3775632</v>
      </c>
      <c r="L52" s="56">
        <v>3771791.1622000001</v>
      </c>
      <c r="M52" s="56">
        <f t="shared" si="1"/>
        <v>0</v>
      </c>
      <c r="N52" s="56">
        <v>3771791.1622000001</v>
      </c>
    </row>
    <row r="53" spans="4:17">
      <c r="E53" s="78" t="s">
        <v>261</v>
      </c>
      <c r="F53" s="79" t="s">
        <v>325</v>
      </c>
      <c r="G53" s="56">
        <v>0</v>
      </c>
      <c r="H53" s="56">
        <v>0</v>
      </c>
      <c r="I53" s="56">
        <v>3775632</v>
      </c>
      <c r="J53" s="56">
        <v>3775632</v>
      </c>
      <c r="K53" s="56">
        <v>3775632</v>
      </c>
      <c r="L53" s="56">
        <v>3771791.1622000001</v>
      </c>
      <c r="M53" s="56">
        <f t="shared" si="1"/>
        <v>0</v>
      </c>
      <c r="N53" s="56">
        <v>3771791.1622000001</v>
      </c>
    </row>
    <row r="54" spans="4:17">
      <c r="D54" s="85" t="s">
        <v>303</v>
      </c>
      <c r="F54" s="79" t="s">
        <v>341</v>
      </c>
      <c r="G54" s="56">
        <v>6276795</v>
      </c>
      <c r="H54" s="56">
        <v>6938637.7000000002</v>
      </c>
      <c r="I54" s="56">
        <v>7076638.7000000002</v>
      </c>
      <c r="J54" s="56">
        <v>7076638.7000000002</v>
      </c>
      <c r="K54" s="56">
        <v>7076638.7000000002</v>
      </c>
      <c r="L54" s="56">
        <v>7075916.5159</v>
      </c>
      <c r="M54" s="56">
        <f t="shared" si="1"/>
        <v>17000.000900000334</v>
      </c>
      <c r="N54" s="56">
        <v>7058916.5149999997</v>
      </c>
    </row>
    <row r="55" spans="4:17">
      <c r="E55" s="78" t="s">
        <v>261</v>
      </c>
      <c r="F55" s="79" t="s">
        <v>325</v>
      </c>
      <c r="G55" s="56">
        <v>0</v>
      </c>
      <c r="H55" s="56">
        <v>0</v>
      </c>
      <c r="I55" s="56">
        <v>5744956</v>
      </c>
      <c r="J55" s="56">
        <v>5744956</v>
      </c>
      <c r="K55" s="56">
        <v>5744956</v>
      </c>
      <c r="L55" s="56">
        <v>5744238.1254000003</v>
      </c>
      <c r="M55" s="56">
        <f t="shared" si="1"/>
        <v>9.0000033378601074E-4</v>
      </c>
      <c r="N55" s="56">
        <v>5744238.1244999999</v>
      </c>
    </row>
    <row r="56" spans="4:17">
      <c r="E56" s="78" t="s">
        <v>326</v>
      </c>
      <c r="F56" s="79" t="s">
        <v>327</v>
      </c>
      <c r="G56" s="56">
        <v>0</v>
      </c>
      <c r="H56" s="56">
        <v>0</v>
      </c>
      <c r="I56" s="56">
        <v>1331682.7</v>
      </c>
      <c r="J56" s="56">
        <v>1331682.7</v>
      </c>
      <c r="K56" s="56">
        <v>1331682.7</v>
      </c>
      <c r="L56" s="56">
        <v>1331678.3905</v>
      </c>
      <c r="M56" s="56">
        <f t="shared" si="1"/>
        <v>17000</v>
      </c>
      <c r="N56" s="56">
        <v>1314678.3905</v>
      </c>
    </row>
    <row r="57" spans="4:17">
      <c r="D57" s="85" t="s">
        <v>307</v>
      </c>
      <c r="F57" s="79" t="s">
        <v>342</v>
      </c>
      <c r="G57" s="56">
        <v>2787880</v>
      </c>
      <c r="H57" s="56">
        <v>2798224</v>
      </c>
      <c r="I57" s="56">
        <v>2632470</v>
      </c>
      <c r="J57" s="56">
        <v>2632470</v>
      </c>
      <c r="K57" s="56">
        <v>2632470</v>
      </c>
      <c r="L57" s="56">
        <v>2628560.0863000001</v>
      </c>
      <c r="M57" s="56">
        <f t="shared" si="1"/>
        <v>0</v>
      </c>
      <c r="N57" s="56">
        <v>2628560.0863000001</v>
      </c>
    </row>
    <row r="58" spans="4:17">
      <c r="E58" s="78" t="s">
        <v>261</v>
      </c>
      <c r="F58" s="79" t="s">
        <v>325</v>
      </c>
      <c r="G58" s="56">
        <v>0</v>
      </c>
      <c r="H58" s="56">
        <v>0</v>
      </c>
      <c r="I58" s="56">
        <v>2616573</v>
      </c>
      <c r="J58" s="56">
        <v>2616573</v>
      </c>
      <c r="K58" s="56">
        <v>2616573</v>
      </c>
      <c r="L58" s="56">
        <v>2612663.0863000001</v>
      </c>
      <c r="M58" s="56">
        <f t="shared" si="1"/>
        <v>0</v>
      </c>
      <c r="N58" s="56">
        <v>2612663.0863000001</v>
      </c>
    </row>
    <row r="59" spans="4:17">
      <c r="E59" s="78" t="s">
        <v>326</v>
      </c>
      <c r="F59" s="79" t="s">
        <v>327</v>
      </c>
      <c r="G59" s="56">
        <v>0</v>
      </c>
      <c r="H59" s="56">
        <v>0</v>
      </c>
      <c r="I59" s="56">
        <v>15897</v>
      </c>
      <c r="J59" s="56">
        <v>15897</v>
      </c>
      <c r="K59" s="56">
        <v>15897</v>
      </c>
      <c r="L59" s="56">
        <v>15897</v>
      </c>
      <c r="M59" s="56">
        <f t="shared" si="1"/>
        <v>0</v>
      </c>
      <c r="N59" s="56">
        <v>15897</v>
      </c>
    </row>
    <row r="60" spans="4:17" ht="31.5">
      <c r="D60" s="85" t="s">
        <v>309</v>
      </c>
      <c r="F60" s="79" t="s">
        <v>343</v>
      </c>
      <c r="G60" s="56">
        <v>5587998</v>
      </c>
      <c r="H60" s="56">
        <v>7270344.7000000002</v>
      </c>
      <c r="I60" s="56">
        <v>7085475.7000000002</v>
      </c>
      <c r="J60" s="56">
        <v>7085475.7000000002</v>
      </c>
      <c r="K60" s="56">
        <v>7085475.7000000002</v>
      </c>
      <c r="L60" s="56">
        <v>7051099.2566</v>
      </c>
      <c r="M60" s="56">
        <f t="shared" si="1"/>
        <v>0</v>
      </c>
      <c r="N60" s="56">
        <v>7051099.2566</v>
      </c>
    </row>
    <row r="61" spans="4:17">
      <c r="E61" s="78" t="s">
        <v>261</v>
      </c>
      <c r="F61" s="79" t="s">
        <v>325</v>
      </c>
      <c r="G61" s="56">
        <v>0</v>
      </c>
      <c r="H61" s="56">
        <v>0</v>
      </c>
      <c r="I61" s="56">
        <v>6057432</v>
      </c>
      <c r="J61" s="56">
        <v>6057432</v>
      </c>
      <c r="K61" s="56">
        <v>6057432</v>
      </c>
      <c r="L61" s="56">
        <v>6023066.7293999996</v>
      </c>
      <c r="M61" s="56">
        <f t="shared" si="1"/>
        <v>0</v>
      </c>
      <c r="N61" s="56">
        <v>6023066.7293999996</v>
      </c>
      <c r="Q61" s="56">
        <f>N119+N107</f>
        <v>247585614.4777</v>
      </c>
    </row>
    <row r="62" spans="4:17">
      <c r="E62" s="78" t="s">
        <v>326</v>
      </c>
      <c r="F62" s="79" t="s">
        <v>327</v>
      </c>
      <c r="G62" s="56">
        <v>0</v>
      </c>
      <c r="H62" s="56">
        <v>0</v>
      </c>
      <c r="I62" s="56">
        <v>1028043.7</v>
      </c>
      <c r="J62" s="56">
        <v>1028043.7</v>
      </c>
      <c r="K62" s="56">
        <v>1028043.7</v>
      </c>
      <c r="L62" s="56">
        <v>1028032.5272</v>
      </c>
      <c r="M62" s="56">
        <f t="shared" si="1"/>
        <v>0</v>
      </c>
      <c r="N62" s="56">
        <v>1028032.5272</v>
      </c>
    </row>
    <row r="63" spans="4:17">
      <c r="D63" s="85" t="s">
        <v>344</v>
      </c>
      <c r="F63" s="79" t="s">
        <v>345</v>
      </c>
      <c r="G63" s="56">
        <v>6308509</v>
      </c>
      <c r="H63" s="56">
        <v>7245512</v>
      </c>
      <c r="I63" s="56">
        <v>7426621</v>
      </c>
      <c r="J63" s="56">
        <v>7426621</v>
      </c>
      <c r="K63" s="56">
        <v>7426621</v>
      </c>
      <c r="L63" s="56">
        <v>7422825.4409999996</v>
      </c>
      <c r="M63" s="56">
        <f t="shared" si="1"/>
        <v>0</v>
      </c>
      <c r="N63" s="56">
        <v>7422825.4409999996</v>
      </c>
      <c r="Q63" s="56">
        <f>N75+N49</f>
        <v>74127302.287900001</v>
      </c>
    </row>
    <row r="64" spans="4:17">
      <c r="E64" s="78" t="s">
        <v>261</v>
      </c>
      <c r="F64" s="79" t="s">
        <v>325</v>
      </c>
      <c r="G64" s="56">
        <v>0</v>
      </c>
      <c r="H64" s="56">
        <v>0</v>
      </c>
      <c r="I64" s="56">
        <v>7394351</v>
      </c>
      <c r="J64" s="56">
        <v>7394351</v>
      </c>
      <c r="K64" s="56">
        <v>7394351</v>
      </c>
      <c r="L64" s="56">
        <v>7390555.4409999996</v>
      </c>
      <c r="M64" s="56">
        <f t="shared" si="1"/>
        <v>0</v>
      </c>
      <c r="N64" s="56">
        <v>7390555.4409999996</v>
      </c>
    </row>
    <row r="65" spans="1:14">
      <c r="E65" s="78" t="s">
        <v>326</v>
      </c>
      <c r="F65" s="79" t="s">
        <v>327</v>
      </c>
      <c r="G65" s="56">
        <v>0</v>
      </c>
      <c r="H65" s="56">
        <v>0</v>
      </c>
      <c r="I65" s="56">
        <v>32270</v>
      </c>
      <c r="J65" s="56">
        <v>32270</v>
      </c>
      <c r="K65" s="56">
        <v>32270</v>
      </c>
      <c r="L65" s="56">
        <v>32270</v>
      </c>
      <c r="M65" s="56">
        <f t="shared" si="1"/>
        <v>0</v>
      </c>
      <c r="N65" s="56">
        <v>32270</v>
      </c>
    </row>
    <row r="66" spans="1:14" ht="21">
      <c r="D66" s="85" t="s">
        <v>346</v>
      </c>
      <c r="F66" s="79" t="s">
        <v>347</v>
      </c>
      <c r="G66" s="56">
        <v>14204658</v>
      </c>
      <c r="H66" s="56">
        <v>16923596.600000001</v>
      </c>
      <c r="I66" s="56">
        <v>16380767.6</v>
      </c>
      <c r="J66" s="56">
        <v>16380767.6</v>
      </c>
      <c r="K66" s="56">
        <v>16380767.6</v>
      </c>
      <c r="L66" s="56">
        <v>16364965.203299999</v>
      </c>
      <c r="M66" s="56">
        <f t="shared" si="1"/>
        <v>0</v>
      </c>
      <c r="N66" s="56">
        <v>16364965.203299999</v>
      </c>
    </row>
    <row r="67" spans="1:14">
      <c r="E67" s="78" t="s">
        <v>261</v>
      </c>
      <c r="F67" s="79" t="s">
        <v>325</v>
      </c>
      <c r="G67" s="56">
        <v>0</v>
      </c>
      <c r="H67" s="56">
        <v>0</v>
      </c>
      <c r="I67" s="56">
        <v>14338490</v>
      </c>
      <c r="J67" s="56">
        <v>14338490</v>
      </c>
      <c r="K67" s="56">
        <v>14338490</v>
      </c>
      <c r="L67" s="56">
        <v>14337430.2267</v>
      </c>
      <c r="M67" s="56">
        <f t="shared" si="1"/>
        <v>0</v>
      </c>
      <c r="N67" s="56">
        <v>14337430.2267</v>
      </c>
    </row>
    <row r="68" spans="1:14">
      <c r="E68" s="78" t="s">
        <v>326</v>
      </c>
      <c r="F68" s="79" t="s">
        <v>327</v>
      </c>
      <c r="G68" s="56">
        <v>0</v>
      </c>
      <c r="H68" s="56">
        <v>0</v>
      </c>
      <c r="I68" s="56">
        <v>2042277.6</v>
      </c>
      <c r="J68" s="56">
        <v>2042277.6</v>
      </c>
      <c r="K68" s="56">
        <v>2042277.6</v>
      </c>
      <c r="L68" s="56">
        <v>2027534.9765999999</v>
      </c>
      <c r="M68" s="56">
        <f t="shared" si="1"/>
        <v>0</v>
      </c>
      <c r="N68" s="56">
        <v>2027534.9765999999</v>
      </c>
    </row>
    <row r="69" spans="1:14">
      <c r="D69" s="85" t="s">
        <v>348</v>
      </c>
      <c r="F69" s="79" t="s">
        <v>349</v>
      </c>
      <c r="G69" s="56">
        <v>601443</v>
      </c>
      <c r="H69" s="56">
        <v>651288</v>
      </c>
      <c r="I69" s="56">
        <v>652579</v>
      </c>
      <c r="J69" s="56">
        <v>652579</v>
      </c>
      <c r="K69" s="56">
        <v>652579</v>
      </c>
      <c r="L69" s="56">
        <v>636557.85580000002</v>
      </c>
      <c r="M69" s="56">
        <f t="shared" si="1"/>
        <v>0</v>
      </c>
      <c r="N69" s="56">
        <v>636557.85580000002</v>
      </c>
    </row>
    <row r="70" spans="1:14">
      <c r="E70" s="78" t="s">
        <v>261</v>
      </c>
      <c r="F70" s="79" t="s">
        <v>325</v>
      </c>
      <c r="G70" s="56">
        <v>0</v>
      </c>
      <c r="H70" s="56">
        <v>0</v>
      </c>
      <c r="I70" s="56">
        <v>652579</v>
      </c>
      <c r="J70" s="56">
        <v>652579</v>
      </c>
      <c r="K70" s="56">
        <v>652579</v>
      </c>
      <c r="L70" s="56">
        <v>636557.85580000002</v>
      </c>
      <c r="M70" s="56">
        <f t="shared" si="1"/>
        <v>0</v>
      </c>
      <c r="N70" s="56">
        <v>636557.85580000002</v>
      </c>
    </row>
    <row r="71" spans="1:14" ht="21">
      <c r="D71" s="85" t="s">
        <v>350</v>
      </c>
      <c r="F71" s="79" t="s">
        <v>351</v>
      </c>
      <c r="G71" s="56">
        <v>23832229</v>
      </c>
      <c r="H71" s="56">
        <v>26693800.199999999</v>
      </c>
      <c r="I71" s="56">
        <v>26638086.199999999</v>
      </c>
      <c r="J71" s="56">
        <v>26638086.199999999</v>
      </c>
      <c r="K71" s="56">
        <v>26638086.199999999</v>
      </c>
      <c r="L71" s="56">
        <v>26638085.434700001</v>
      </c>
      <c r="M71" s="56">
        <f t="shared" si="1"/>
        <v>1.4999993145465851E-3</v>
      </c>
      <c r="N71" s="56">
        <v>26638085.433200002</v>
      </c>
    </row>
    <row r="72" spans="1:14">
      <c r="E72" s="78" t="s">
        <v>261</v>
      </c>
      <c r="F72" s="79" t="s">
        <v>325</v>
      </c>
      <c r="G72" s="56">
        <v>0</v>
      </c>
      <c r="H72" s="56">
        <v>0</v>
      </c>
      <c r="I72" s="56">
        <v>23462374</v>
      </c>
      <c r="J72" s="56">
        <v>23462374</v>
      </c>
      <c r="K72" s="56">
        <v>23462374</v>
      </c>
      <c r="L72" s="56">
        <v>23462373.548160002</v>
      </c>
      <c r="M72" s="56">
        <f t="shared" si="1"/>
        <v>9.2000141739845276E-4</v>
      </c>
      <c r="N72" s="56">
        <v>23462373.54724</v>
      </c>
    </row>
    <row r="73" spans="1:14">
      <c r="E73" s="78" t="s">
        <v>326</v>
      </c>
      <c r="F73" s="79" t="s">
        <v>327</v>
      </c>
      <c r="G73" s="56">
        <v>0</v>
      </c>
      <c r="H73" s="56">
        <v>0</v>
      </c>
      <c r="I73" s="56">
        <v>3175712.2</v>
      </c>
      <c r="J73" s="56">
        <v>3175712.2</v>
      </c>
      <c r="K73" s="56">
        <v>3175712.2</v>
      </c>
      <c r="L73" s="56">
        <v>3175711.8865</v>
      </c>
      <c r="M73" s="56">
        <f t="shared" si="1"/>
        <v>5.1000015810132027E-4</v>
      </c>
      <c r="N73" s="56">
        <v>3175711.8859899999</v>
      </c>
    </row>
    <row r="74" spans="1:14" ht="22.5">
      <c r="A74" s="76"/>
      <c r="B74" s="76"/>
      <c r="C74" s="76" t="s">
        <v>328</v>
      </c>
      <c r="D74" s="76"/>
      <c r="E74" s="76"/>
      <c r="F74" s="199" t="s">
        <v>329</v>
      </c>
      <c r="G74" s="55">
        <v>29135534</v>
      </c>
      <c r="H74" s="55">
        <v>29047488.300000001</v>
      </c>
      <c r="I74" s="55">
        <v>29047488.300000001</v>
      </c>
      <c r="J74" s="55">
        <v>29047488.300000001</v>
      </c>
      <c r="K74" s="55">
        <v>29047488.300000001</v>
      </c>
      <c r="L74" s="55">
        <v>29010899.394900002</v>
      </c>
      <c r="M74" s="55">
        <f t="shared" si="1"/>
        <v>0</v>
      </c>
      <c r="N74" s="55">
        <v>29010899.394900002</v>
      </c>
    </row>
    <row r="75" spans="1:14" ht="31.5">
      <c r="D75" s="78" t="s">
        <v>253</v>
      </c>
      <c r="F75" s="79" t="s">
        <v>339</v>
      </c>
      <c r="G75" s="56">
        <v>11789941</v>
      </c>
      <c r="H75" s="56">
        <v>11548596.5</v>
      </c>
      <c r="I75" s="56">
        <v>11548596.5</v>
      </c>
      <c r="J75" s="56">
        <v>11548596.5</v>
      </c>
      <c r="K75" s="56">
        <v>11548596.5</v>
      </c>
      <c r="L75" s="56">
        <v>11546605.340299999</v>
      </c>
      <c r="M75" s="56">
        <f t="shared" si="1"/>
        <v>0</v>
      </c>
      <c r="N75" s="56">
        <v>11546605.340299999</v>
      </c>
    </row>
    <row r="76" spans="1:14">
      <c r="E76" s="78" t="s">
        <v>261</v>
      </c>
      <c r="F76" s="79" t="s">
        <v>325</v>
      </c>
      <c r="G76" s="56">
        <v>0</v>
      </c>
      <c r="H76" s="56">
        <v>0</v>
      </c>
      <c r="I76" s="56">
        <v>1728175</v>
      </c>
      <c r="J76" s="56">
        <v>1728175</v>
      </c>
      <c r="K76" s="56">
        <v>1728175</v>
      </c>
      <c r="L76" s="56">
        <v>1726293.4450999999</v>
      </c>
      <c r="M76" s="56">
        <f t="shared" si="1"/>
        <v>0</v>
      </c>
      <c r="N76" s="56">
        <v>1726293.4450999999</v>
      </c>
    </row>
    <row r="77" spans="1:14">
      <c r="E77" s="78" t="s">
        <v>326</v>
      </c>
      <c r="F77" s="79" t="s">
        <v>327</v>
      </c>
      <c r="G77" s="56">
        <v>0</v>
      </c>
      <c r="H77" s="56">
        <v>0</v>
      </c>
      <c r="I77" s="56">
        <v>9820421.5</v>
      </c>
      <c r="J77" s="56">
        <v>9820421.5</v>
      </c>
      <c r="K77" s="56">
        <v>9820421.5</v>
      </c>
      <c r="L77" s="56">
        <v>9820311.8952300008</v>
      </c>
      <c r="M77" s="56">
        <f t="shared" si="1"/>
        <v>0</v>
      </c>
      <c r="N77" s="56">
        <v>9820311.8952300008</v>
      </c>
    </row>
    <row r="78" spans="1:14">
      <c r="D78" s="85" t="s">
        <v>249</v>
      </c>
      <c r="F78" s="79" t="s">
        <v>340</v>
      </c>
      <c r="G78" s="56">
        <v>475404</v>
      </c>
      <c r="H78" s="56">
        <v>406647</v>
      </c>
      <c r="I78" s="56">
        <v>406647</v>
      </c>
      <c r="J78" s="56">
        <v>406647</v>
      </c>
      <c r="K78" s="56">
        <v>406647</v>
      </c>
      <c r="L78" s="56">
        <v>406644.60399999999</v>
      </c>
      <c r="M78" s="56">
        <f t="shared" si="1"/>
        <v>0</v>
      </c>
      <c r="N78" s="56">
        <v>406644.60399999999</v>
      </c>
    </row>
    <row r="79" spans="1:14">
      <c r="E79" s="78" t="s">
        <v>261</v>
      </c>
      <c r="F79" s="79" t="s">
        <v>325</v>
      </c>
      <c r="G79" s="56">
        <v>0</v>
      </c>
      <c r="H79" s="56">
        <v>0</v>
      </c>
      <c r="I79" s="56">
        <v>406647</v>
      </c>
      <c r="J79" s="56">
        <v>406647</v>
      </c>
      <c r="K79" s="56">
        <v>406647</v>
      </c>
      <c r="L79" s="56">
        <v>406644.60398000001</v>
      </c>
      <c r="M79" s="56">
        <f t="shared" si="1"/>
        <v>0</v>
      </c>
      <c r="N79" s="56">
        <v>406644.60398000001</v>
      </c>
    </row>
    <row r="80" spans="1:14">
      <c r="D80" s="85" t="s">
        <v>303</v>
      </c>
      <c r="F80" s="79" t="s">
        <v>341</v>
      </c>
      <c r="G80" s="56">
        <v>1384682</v>
      </c>
      <c r="H80" s="56">
        <v>1342503</v>
      </c>
      <c r="I80" s="56">
        <v>1342503</v>
      </c>
      <c r="J80" s="56">
        <v>1342503</v>
      </c>
      <c r="K80" s="56">
        <v>1342503</v>
      </c>
      <c r="L80" s="56">
        <v>1342492.105</v>
      </c>
      <c r="M80" s="56">
        <f t="shared" si="1"/>
        <v>0</v>
      </c>
      <c r="N80" s="56">
        <v>1342492.105</v>
      </c>
    </row>
    <row r="81" spans="4:14">
      <c r="E81" s="78" t="s">
        <v>261</v>
      </c>
      <c r="F81" s="79" t="s">
        <v>325</v>
      </c>
      <c r="G81" s="56">
        <v>0</v>
      </c>
      <c r="H81" s="56">
        <v>0</v>
      </c>
      <c r="I81" s="56">
        <v>1342503</v>
      </c>
      <c r="J81" s="56">
        <v>1342503</v>
      </c>
      <c r="K81" s="56">
        <v>1342503</v>
      </c>
      <c r="L81" s="56">
        <v>1342492.1050199999</v>
      </c>
      <c r="M81" s="56">
        <f t="shared" si="1"/>
        <v>0</v>
      </c>
      <c r="N81" s="56">
        <v>1342492.1050199999</v>
      </c>
    </row>
    <row r="82" spans="4:14">
      <c r="D82" s="85" t="s">
        <v>307</v>
      </c>
      <c r="F82" s="79" t="s">
        <v>342</v>
      </c>
      <c r="G82" s="56">
        <v>556992</v>
      </c>
      <c r="H82" s="56">
        <v>543963</v>
      </c>
      <c r="I82" s="56">
        <v>543963</v>
      </c>
      <c r="J82" s="56">
        <v>543963</v>
      </c>
      <c r="K82" s="56">
        <v>543963</v>
      </c>
      <c r="L82" s="56">
        <v>543744.41850000003</v>
      </c>
      <c r="M82" s="56">
        <f t="shared" si="1"/>
        <v>0</v>
      </c>
      <c r="N82" s="56">
        <v>543744.41850000003</v>
      </c>
    </row>
    <row r="83" spans="4:14">
      <c r="E83" s="78" t="s">
        <v>261</v>
      </c>
      <c r="F83" s="79" t="s">
        <v>325</v>
      </c>
      <c r="G83" s="56">
        <v>0</v>
      </c>
      <c r="H83" s="56">
        <v>0</v>
      </c>
      <c r="I83" s="56">
        <v>543963</v>
      </c>
      <c r="J83" s="56">
        <v>543963</v>
      </c>
      <c r="K83" s="56">
        <v>543963</v>
      </c>
      <c r="L83" s="56">
        <v>543744.41850000003</v>
      </c>
      <c r="M83" s="56">
        <f t="shared" si="1"/>
        <v>0</v>
      </c>
      <c r="N83" s="56">
        <v>543744.41850000003</v>
      </c>
    </row>
    <row r="84" spans="4:14" ht="31.5">
      <c r="D84" s="85" t="s">
        <v>309</v>
      </c>
      <c r="F84" s="79" t="s">
        <v>343</v>
      </c>
      <c r="G84" s="56">
        <v>2048159</v>
      </c>
      <c r="H84" s="56">
        <v>2029741.4</v>
      </c>
      <c r="I84" s="56">
        <v>2029741.4</v>
      </c>
      <c r="J84" s="56">
        <v>2029741.4</v>
      </c>
      <c r="K84" s="56">
        <v>2029741.4</v>
      </c>
      <c r="L84" s="56">
        <v>2002865.6044999999</v>
      </c>
      <c r="M84" s="56">
        <f t="shared" si="1"/>
        <v>0</v>
      </c>
      <c r="N84" s="56">
        <v>2002865.6044999999</v>
      </c>
    </row>
    <row r="85" spans="4:14">
      <c r="E85" s="78" t="s">
        <v>261</v>
      </c>
      <c r="F85" s="79" t="s">
        <v>325</v>
      </c>
      <c r="G85" s="56">
        <v>0</v>
      </c>
      <c r="H85" s="56">
        <v>0</v>
      </c>
      <c r="I85" s="56">
        <v>1626790</v>
      </c>
      <c r="J85" s="56">
        <v>1626790</v>
      </c>
      <c r="K85" s="56">
        <v>1626790</v>
      </c>
      <c r="L85" s="56">
        <v>1599914.2804700001</v>
      </c>
      <c r="M85" s="56">
        <f t="shared" si="1"/>
        <v>0</v>
      </c>
      <c r="N85" s="56">
        <v>1599914.2804700001</v>
      </c>
    </row>
    <row r="86" spans="4:14">
      <c r="E86" s="78" t="s">
        <v>326</v>
      </c>
      <c r="F86" s="79" t="s">
        <v>327</v>
      </c>
      <c r="G86" s="56">
        <v>0</v>
      </c>
      <c r="H86" s="56">
        <v>0</v>
      </c>
      <c r="I86" s="56">
        <v>402951.4</v>
      </c>
      <c r="J86" s="56">
        <v>402951.4</v>
      </c>
      <c r="K86" s="56">
        <v>402951.4</v>
      </c>
      <c r="L86" s="56">
        <v>402951.32400000002</v>
      </c>
      <c r="M86" s="56">
        <f t="shared" si="1"/>
        <v>0</v>
      </c>
      <c r="N86" s="56">
        <v>402951.32400000002</v>
      </c>
    </row>
    <row r="87" spans="4:14">
      <c r="D87" s="85" t="s">
        <v>344</v>
      </c>
      <c r="F87" s="79" t="s">
        <v>345</v>
      </c>
      <c r="G87" s="56">
        <v>1989495</v>
      </c>
      <c r="H87" s="56">
        <v>2392701</v>
      </c>
      <c r="I87" s="56">
        <v>2392701</v>
      </c>
      <c r="J87" s="56">
        <v>2392701</v>
      </c>
      <c r="K87" s="56">
        <v>2392701</v>
      </c>
      <c r="L87" s="56">
        <v>2392556.9430999998</v>
      </c>
      <c r="M87" s="56">
        <f t="shared" si="1"/>
        <v>0</v>
      </c>
      <c r="N87" s="56">
        <v>2392556.9430999998</v>
      </c>
    </row>
    <row r="88" spans="4:14">
      <c r="E88" s="78" t="s">
        <v>261</v>
      </c>
      <c r="F88" s="79" t="s">
        <v>325</v>
      </c>
      <c r="G88" s="56">
        <v>0</v>
      </c>
      <c r="H88" s="56">
        <v>0</v>
      </c>
      <c r="I88" s="56">
        <v>2392701</v>
      </c>
      <c r="J88" s="56">
        <v>2392701</v>
      </c>
      <c r="K88" s="56">
        <v>2392701</v>
      </c>
      <c r="L88" s="56">
        <v>2392556.94307</v>
      </c>
      <c r="M88" s="56">
        <f t="shared" si="1"/>
        <v>0</v>
      </c>
      <c r="N88" s="56">
        <v>2392556.94307</v>
      </c>
    </row>
    <row r="89" spans="4:14" ht="21">
      <c r="D89" s="85" t="s">
        <v>346</v>
      </c>
      <c r="F89" s="79" t="s">
        <v>347</v>
      </c>
      <c r="G89" s="56">
        <v>3657801</v>
      </c>
      <c r="H89" s="56">
        <v>3214848</v>
      </c>
      <c r="I89" s="56">
        <v>3214848</v>
      </c>
      <c r="J89" s="56">
        <v>3214848</v>
      </c>
      <c r="K89" s="56">
        <v>3214848</v>
      </c>
      <c r="L89" s="56">
        <v>3207713.4712</v>
      </c>
      <c r="M89" s="56">
        <f t="shared" si="1"/>
        <v>0</v>
      </c>
      <c r="N89" s="56">
        <v>3207713.4712</v>
      </c>
    </row>
    <row r="90" spans="4:14">
      <c r="E90" s="78" t="s">
        <v>261</v>
      </c>
      <c r="F90" s="79" t="s">
        <v>325</v>
      </c>
      <c r="G90" s="56">
        <v>0</v>
      </c>
      <c r="H90" s="56">
        <v>0</v>
      </c>
      <c r="I90" s="56">
        <v>2957089</v>
      </c>
      <c r="J90" s="56">
        <v>2957089</v>
      </c>
      <c r="K90" s="56">
        <v>2957089</v>
      </c>
      <c r="L90" s="56">
        <v>2950247.6754899998</v>
      </c>
      <c r="M90" s="56">
        <f t="shared" si="1"/>
        <v>0</v>
      </c>
      <c r="N90" s="56">
        <v>2950247.6754899998</v>
      </c>
    </row>
    <row r="91" spans="4:14">
      <c r="E91" s="78" t="s">
        <v>326</v>
      </c>
      <c r="F91" s="79" t="s">
        <v>327</v>
      </c>
      <c r="G91" s="56">
        <v>0</v>
      </c>
      <c r="H91" s="56">
        <v>0</v>
      </c>
      <c r="I91" s="56">
        <v>257759</v>
      </c>
      <c r="J91" s="56">
        <v>257759</v>
      </c>
      <c r="K91" s="56">
        <v>257759</v>
      </c>
      <c r="L91" s="56">
        <v>257465.79579999999</v>
      </c>
      <c r="M91" s="56">
        <f t="shared" si="1"/>
        <v>0</v>
      </c>
      <c r="N91" s="56">
        <v>257465.79579999999</v>
      </c>
    </row>
    <row r="92" spans="4:14">
      <c r="D92" s="85" t="s">
        <v>348</v>
      </c>
      <c r="F92" s="79" t="s">
        <v>349</v>
      </c>
      <c r="G92" s="56">
        <v>174073</v>
      </c>
      <c r="H92" s="56">
        <v>171551</v>
      </c>
      <c r="I92" s="56">
        <v>171551</v>
      </c>
      <c r="J92" s="56">
        <v>171551</v>
      </c>
      <c r="K92" s="56">
        <v>171551</v>
      </c>
      <c r="L92" s="56">
        <v>171339.67199999999</v>
      </c>
      <c r="M92" s="56">
        <f t="shared" si="1"/>
        <v>0</v>
      </c>
      <c r="N92" s="56">
        <v>171339.67199999999</v>
      </c>
    </row>
    <row r="93" spans="4:14">
      <c r="E93" s="78" t="s">
        <v>261</v>
      </c>
      <c r="F93" s="79" t="s">
        <v>325</v>
      </c>
      <c r="G93" s="56">
        <v>0</v>
      </c>
      <c r="H93" s="56">
        <v>0</v>
      </c>
      <c r="I93" s="56">
        <v>171551</v>
      </c>
      <c r="J93" s="56">
        <v>171551</v>
      </c>
      <c r="K93" s="56">
        <v>171551</v>
      </c>
      <c r="L93" s="56">
        <v>171339.67199999999</v>
      </c>
      <c r="M93" s="56">
        <f t="shared" si="1"/>
        <v>0</v>
      </c>
      <c r="N93" s="56">
        <v>171339.67199999999</v>
      </c>
    </row>
    <row r="94" spans="4:14" ht="21">
      <c r="D94" s="85" t="s">
        <v>350</v>
      </c>
      <c r="F94" s="79" t="s">
        <v>351</v>
      </c>
      <c r="G94" s="56">
        <v>7058987</v>
      </c>
      <c r="H94" s="56">
        <v>7396937.4000000004</v>
      </c>
      <c r="I94" s="56">
        <v>7396937.4000000004</v>
      </c>
      <c r="J94" s="56">
        <v>7396937.4000000004</v>
      </c>
      <c r="K94" s="56">
        <v>7396937.4000000004</v>
      </c>
      <c r="L94" s="56">
        <v>7396937.2363</v>
      </c>
      <c r="M94" s="56">
        <f t="shared" si="1"/>
        <v>0</v>
      </c>
      <c r="N94" s="56">
        <v>7396937.2363</v>
      </c>
    </row>
    <row r="95" spans="4:14">
      <c r="E95" s="78" t="s">
        <v>261</v>
      </c>
      <c r="F95" s="79" t="s">
        <v>325</v>
      </c>
      <c r="G95" s="56">
        <v>0</v>
      </c>
      <c r="H95" s="56">
        <v>0</v>
      </c>
      <c r="I95" s="56">
        <v>6366463</v>
      </c>
      <c r="J95" s="56">
        <v>6366463</v>
      </c>
      <c r="K95" s="56">
        <v>6366463</v>
      </c>
      <c r="L95" s="56">
        <v>6366462.8362699999</v>
      </c>
      <c r="M95" s="56">
        <f t="shared" si="1"/>
        <v>0</v>
      </c>
      <c r="N95" s="56">
        <v>6366462.8362699999</v>
      </c>
    </row>
    <row r="96" spans="4:14">
      <c r="E96" s="78" t="s">
        <v>326</v>
      </c>
      <c r="F96" s="79" t="s">
        <v>327</v>
      </c>
      <c r="G96" s="56">
        <v>0</v>
      </c>
      <c r="H96" s="56">
        <v>0</v>
      </c>
      <c r="I96" s="56">
        <v>1030474.4</v>
      </c>
      <c r="J96" s="56">
        <v>1030474.4</v>
      </c>
      <c r="K96" s="56">
        <v>1030474.4</v>
      </c>
      <c r="L96" s="56">
        <v>1030474.4</v>
      </c>
      <c r="M96" s="56">
        <f t="shared" si="1"/>
        <v>0</v>
      </c>
      <c r="N96" s="56">
        <v>1030474.4</v>
      </c>
    </row>
    <row r="97" spans="1:14">
      <c r="A97" s="74"/>
      <c r="B97" s="74" t="s">
        <v>352</v>
      </c>
      <c r="C97" s="74"/>
      <c r="D97" s="74"/>
      <c r="E97" s="74"/>
      <c r="F97" s="52" t="s">
        <v>353</v>
      </c>
      <c r="G97" s="53">
        <v>242361872</v>
      </c>
      <c r="H97" s="53">
        <v>284229411.89999998</v>
      </c>
      <c r="I97" s="53">
        <v>284142087.89999998</v>
      </c>
      <c r="J97" s="53">
        <v>284142087.89999998</v>
      </c>
      <c r="K97" s="53">
        <v>284142087.89999998</v>
      </c>
      <c r="L97" s="53">
        <v>284103748.01419997</v>
      </c>
      <c r="M97" s="53">
        <f t="shared" si="1"/>
        <v>221989.43629997969</v>
      </c>
      <c r="N97" s="53">
        <v>283881758.57789999</v>
      </c>
    </row>
    <row r="98" spans="1:14">
      <c r="A98" s="76"/>
      <c r="B98" s="76"/>
      <c r="C98" s="76" t="s">
        <v>322</v>
      </c>
      <c r="D98" s="76"/>
      <c r="E98" s="76"/>
      <c r="F98" s="84" t="s">
        <v>323</v>
      </c>
      <c r="G98" s="55">
        <v>210633752</v>
      </c>
      <c r="H98" s="55">
        <v>252911451.40000001</v>
      </c>
      <c r="I98" s="55">
        <v>252824127.40000001</v>
      </c>
      <c r="J98" s="55">
        <v>252824127.40000001</v>
      </c>
      <c r="K98" s="55">
        <v>252824127.40000001</v>
      </c>
      <c r="L98" s="55">
        <v>252786118.7843</v>
      </c>
      <c r="M98" s="55">
        <f t="shared" si="1"/>
        <v>222011.6236999929</v>
      </c>
      <c r="N98" s="55">
        <v>252564107.16060001</v>
      </c>
    </row>
    <row r="99" spans="1:14" ht="21">
      <c r="D99" s="85" t="s">
        <v>289</v>
      </c>
      <c r="F99" s="79" t="s">
        <v>354</v>
      </c>
      <c r="G99" s="56">
        <v>17529442</v>
      </c>
      <c r="H99" s="56">
        <v>18426118.699999999</v>
      </c>
      <c r="I99" s="56">
        <v>18421289.699999999</v>
      </c>
      <c r="J99" s="56">
        <v>18421289.699999999</v>
      </c>
      <c r="K99" s="56">
        <v>18421289.699999999</v>
      </c>
      <c r="L99" s="56">
        <v>18421235.040899999</v>
      </c>
      <c r="M99" s="56">
        <f t="shared" si="1"/>
        <v>109976.86769999936</v>
      </c>
      <c r="N99" s="56">
        <v>18311258.1732</v>
      </c>
    </row>
    <row r="100" spans="1:14" ht="21">
      <c r="E100" s="78" t="s">
        <v>259</v>
      </c>
      <c r="F100" s="79" t="s">
        <v>355</v>
      </c>
      <c r="G100" s="56">
        <v>0</v>
      </c>
      <c r="H100" s="56">
        <v>0</v>
      </c>
      <c r="I100" s="56">
        <v>91104.8</v>
      </c>
      <c r="J100" s="56">
        <v>91104.8</v>
      </c>
      <c r="K100" s="56">
        <v>91104.8</v>
      </c>
      <c r="L100" s="56">
        <v>91104.064629999993</v>
      </c>
      <c r="M100" s="56">
        <f t="shared" si="1"/>
        <v>9.9999888334423304E-6</v>
      </c>
      <c r="N100" s="56">
        <v>91104.064620000005</v>
      </c>
    </row>
    <row r="101" spans="1:14">
      <c r="E101" s="78" t="s">
        <v>265</v>
      </c>
      <c r="F101" s="79" t="s">
        <v>356</v>
      </c>
      <c r="G101" s="56">
        <v>0</v>
      </c>
      <c r="H101" s="56">
        <v>0</v>
      </c>
      <c r="I101" s="56">
        <v>51189.4</v>
      </c>
      <c r="J101" s="56">
        <v>51189.4</v>
      </c>
      <c r="K101" s="56">
        <v>51189.4</v>
      </c>
      <c r="L101" s="56">
        <v>51189.20304</v>
      </c>
      <c r="M101" s="56">
        <f t="shared" si="1"/>
        <v>0.73920999999972992</v>
      </c>
      <c r="N101" s="56">
        <v>51188.463830000001</v>
      </c>
    </row>
    <row r="102" spans="1:14" ht="21">
      <c r="E102" s="78" t="s">
        <v>267</v>
      </c>
      <c r="F102" s="79" t="s">
        <v>357</v>
      </c>
      <c r="G102" s="56">
        <v>0</v>
      </c>
      <c r="H102" s="56">
        <v>0</v>
      </c>
      <c r="I102" s="56">
        <v>95764.4</v>
      </c>
      <c r="J102" s="56">
        <v>95764.4</v>
      </c>
      <c r="K102" s="56">
        <v>95764.4</v>
      </c>
      <c r="L102" s="56">
        <v>95764.096430000005</v>
      </c>
      <c r="M102" s="56">
        <f t="shared" si="1"/>
        <v>2.9337200000009034</v>
      </c>
      <c r="N102" s="56">
        <v>95761.162710000004</v>
      </c>
    </row>
    <row r="103" spans="1:14" ht="21">
      <c r="E103" s="78" t="s">
        <v>269</v>
      </c>
      <c r="F103" s="79" t="s">
        <v>354</v>
      </c>
      <c r="G103" s="56">
        <v>0</v>
      </c>
      <c r="H103" s="56">
        <v>0</v>
      </c>
      <c r="I103" s="56">
        <v>18183231.100000001</v>
      </c>
      <c r="J103" s="56">
        <v>18183231.100000001</v>
      </c>
      <c r="K103" s="56">
        <v>18183231.100000001</v>
      </c>
      <c r="L103" s="56">
        <v>18183177.676800001</v>
      </c>
      <c r="M103" s="56">
        <f t="shared" si="1"/>
        <v>109973.19480000064</v>
      </c>
      <c r="N103" s="56">
        <v>18073204.482000001</v>
      </c>
    </row>
    <row r="104" spans="1:14" ht="21">
      <c r="D104" s="85" t="s">
        <v>358</v>
      </c>
      <c r="F104" s="79" t="s">
        <v>359</v>
      </c>
      <c r="G104" s="56">
        <v>3336241</v>
      </c>
      <c r="H104" s="56">
        <v>3375898</v>
      </c>
      <c r="I104" s="56">
        <v>3338482</v>
      </c>
      <c r="J104" s="56">
        <v>3338482</v>
      </c>
      <c r="K104" s="56">
        <v>3338482</v>
      </c>
      <c r="L104" s="56">
        <v>3336832.1228</v>
      </c>
      <c r="M104" s="56">
        <f t="shared" si="1"/>
        <v>419.23260000022128</v>
      </c>
      <c r="N104" s="56">
        <v>3336412.8901999998</v>
      </c>
    </row>
    <row r="105" spans="1:14">
      <c r="E105" s="78" t="s">
        <v>261</v>
      </c>
      <c r="F105" s="79" t="s">
        <v>325</v>
      </c>
      <c r="G105" s="56">
        <v>0</v>
      </c>
      <c r="H105" s="56">
        <v>0</v>
      </c>
      <c r="I105" s="56">
        <v>3310191</v>
      </c>
      <c r="J105" s="56">
        <v>3310191</v>
      </c>
      <c r="K105" s="56">
        <v>3310191</v>
      </c>
      <c r="L105" s="56">
        <v>3308542.5092000002</v>
      </c>
      <c r="M105" s="56">
        <f t="shared" si="1"/>
        <v>419.23190000001341</v>
      </c>
      <c r="N105" s="56">
        <v>3308123.2773000002</v>
      </c>
    </row>
    <row r="106" spans="1:14">
      <c r="E106" s="78" t="s">
        <v>326</v>
      </c>
      <c r="F106" s="79" t="s">
        <v>327</v>
      </c>
      <c r="G106" s="56">
        <v>0</v>
      </c>
      <c r="H106" s="56">
        <v>0</v>
      </c>
      <c r="I106" s="56">
        <v>28291</v>
      </c>
      <c r="J106" s="56">
        <v>28291</v>
      </c>
      <c r="K106" s="56">
        <v>28291</v>
      </c>
      <c r="L106" s="56">
        <v>28289.613529999999</v>
      </c>
      <c r="M106" s="56">
        <f t="shared" si="1"/>
        <v>7.0000000050640665E-4</v>
      </c>
      <c r="N106" s="56">
        <v>28289.612829999998</v>
      </c>
    </row>
    <row r="107" spans="1:14" ht="31.5">
      <c r="D107" s="85" t="s">
        <v>291</v>
      </c>
      <c r="F107" s="79" t="s">
        <v>360</v>
      </c>
      <c r="G107" s="56">
        <v>182770579</v>
      </c>
      <c r="H107" s="56">
        <v>222565658.5</v>
      </c>
      <c r="I107" s="56">
        <v>222567244.5</v>
      </c>
      <c r="J107" s="56">
        <v>222567244.5</v>
      </c>
      <c r="K107" s="56">
        <v>222567244.5</v>
      </c>
      <c r="L107" s="56">
        <v>222530950.6358</v>
      </c>
      <c r="M107" s="56">
        <f t="shared" ref="M107:M170" si="2">L107-N107</f>
        <v>83499.986200004816</v>
      </c>
      <c r="N107" s="56">
        <v>222447450.6496</v>
      </c>
    </row>
    <row r="108" spans="1:14">
      <c r="E108" s="78" t="s">
        <v>261</v>
      </c>
      <c r="F108" s="79" t="s">
        <v>325</v>
      </c>
      <c r="G108" s="56">
        <v>0</v>
      </c>
      <c r="H108" s="56">
        <v>0</v>
      </c>
      <c r="I108" s="56">
        <v>209189604</v>
      </c>
      <c r="J108" s="56">
        <v>209189604</v>
      </c>
      <c r="K108" s="56">
        <v>209189604</v>
      </c>
      <c r="L108" s="56">
        <v>209153696.97839999</v>
      </c>
      <c r="M108" s="56">
        <f t="shared" si="2"/>
        <v>77156.62239998579</v>
      </c>
      <c r="N108" s="56">
        <v>209076540.35600001</v>
      </c>
    </row>
    <row r="109" spans="1:14">
      <c r="E109" s="78" t="s">
        <v>326</v>
      </c>
      <c r="F109" s="79" t="s">
        <v>327</v>
      </c>
      <c r="G109" s="56">
        <v>0</v>
      </c>
      <c r="H109" s="56">
        <v>0</v>
      </c>
      <c r="I109" s="56">
        <v>13377640.5</v>
      </c>
      <c r="J109" s="56">
        <v>13377640.5</v>
      </c>
      <c r="K109" s="56">
        <v>13377640.5</v>
      </c>
      <c r="L109" s="56">
        <v>13377253.657400001</v>
      </c>
      <c r="M109" s="56">
        <f t="shared" si="2"/>
        <v>6343.3638000003994</v>
      </c>
      <c r="N109" s="56">
        <v>13370910.2936</v>
      </c>
    </row>
    <row r="110" spans="1:14" ht="21">
      <c r="D110" s="85" t="s">
        <v>361</v>
      </c>
      <c r="F110" s="79" t="s">
        <v>362</v>
      </c>
      <c r="G110" s="56">
        <v>6997490</v>
      </c>
      <c r="H110" s="56">
        <v>8543776.1999999993</v>
      </c>
      <c r="I110" s="56">
        <v>8497111.1999999993</v>
      </c>
      <c r="J110" s="56">
        <v>8497111.1999999993</v>
      </c>
      <c r="K110" s="56">
        <v>8497111.1999999993</v>
      </c>
      <c r="L110" s="56">
        <v>8497100.9847999997</v>
      </c>
      <c r="M110" s="56">
        <f t="shared" si="2"/>
        <v>28115.537200000137</v>
      </c>
      <c r="N110" s="56">
        <v>8468985.4475999996</v>
      </c>
    </row>
    <row r="111" spans="1:14">
      <c r="E111" s="78" t="s">
        <v>261</v>
      </c>
      <c r="F111" s="79" t="s">
        <v>325</v>
      </c>
      <c r="G111" s="56">
        <v>0</v>
      </c>
      <c r="H111" s="56">
        <v>0</v>
      </c>
      <c r="I111" s="56">
        <v>4479000</v>
      </c>
      <c r="J111" s="56">
        <v>4479000</v>
      </c>
      <c r="K111" s="56">
        <v>4479000</v>
      </c>
      <c r="L111" s="56">
        <v>4478994.9987000003</v>
      </c>
      <c r="M111" s="56">
        <f t="shared" si="2"/>
        <v>4.5999000007286668</v>
      </c>
      <c r="N111" s="56">
        <v>4478990.3987999996</v>
      </c>
    </row>
    <row r="112" spans="1:14">
      <c r="E112" s="78" t="s">
        <v>326</v>
      </c>
      <c r="F112" s="79" t="s">
        <v>327</v>
      </c>
      <c r="G112" s="56">
        <v>0</v>
      </c>
      <c r="H112" s="56">
        <v>0</v>
      </c>
      <c r="I112" s="56">
        <v>4018111.2</v>
      </c>
      <c r="J112" s="56">
        <v>4018111.2</v>
      </c>
      <c r="K112" s="56">
        <v>4018111.2</v>
      </c>
      <c r="L112" s="56">
        <v>4018105.9860999999</v>
      </c>
      <c r="M112" s="56">
        <f t="shared" si="2"/>
        <v>28110.937299999874</v>
      </c>
      <c r="N112" s="56">
        <v>3989995.0488</v>
      </c>
    </row>
    <row r="113" spans="1:14" ht="22.5">
      <c r="A113" s="76"/>
      <c r="B113" s="76"/>
      <c r="C113" s="76" t="s">
        <v>328</v>
      </c>
      <c r="D113" s="76"/>
      <c r="E113" s="76"/>
      <c r="F113" s="199" t="s">
        <v>329</v>
      </c>
      <c r="G113" s="55">
        <v>31728120</v>
      </c>
      <c r="H113" s="55">
        <v>31317960.5</v>
      </c>
      <c r="I113" s="55">
        <v>31317960.5</v>
      </c>
      <c r="J113" s="55">
        <v>31317960.5</v>
      </c>
      <c r="K113" s="55">
        <v>31317960.5</v>
      </c>
      <c r="L113" s="55">
        <v>31317629.229899999</v>
      </c>
      <c r="M113" s="55">
        <f t="shared" si="2"/>
        <v>-22.187400002032518</v>
      </c>
      <c r="N113" s="55">
        <v>31317651.417300001</v>
      </c>
    </row>
    <row r="114" spans="1:14" ht="21">
      <c r="D114" s="85" t="s">
        <v>289</v>
      </c>
      <c r="F114" s="79" t="s">
        <v>354</v>
      </c>
      <c r="G114" s="56">
        <v>3108551</v>
      </c>
      <c r="H114" s="56">
        <v>3901967.7</v>
      </c>
      <c r="I114" s="56">
        <v>3901967.7</v>
      </c>
      <c r="J114" s="56">
        <v>3901967.7</v>
      </c>
      <c r="K114" s="56">
        <v>3901967.7</v>
      </c>
      <c r="L114" s="56">
        <v>3901967.6992000001</v>
      </c>
      <c r="M114" s="56">
        <f t="shared" si="2"/>
        <v>8.4000000264495611E-2</v>
      </c>
      <c r="N114" s="56">
        <v>3901967.6151999999</v>
      </c>
    </row>
    <row r="115" spans="1:14" ht="21">
      <c r="E115" s="78" t="s">
        <v>259</v>
      </c>
      <c r="F115" s="79" t="s">
        <v>355</v>
      </c>
      <c r="G115" s="56">
        <v>0</v>
      </c>
      <c r="H115" s="56">
        <v>0</v>
      </c>
      <c r="I115" s="56">
        <v>71930.2</v>
      </c>
      <c r="J115" s="56">
        <v>71930.2</v>
      </c>
      <c r="K115" s="56">
        <v>71930.2</v>
      </c>
      <c r="L115" s="56">
        <v>71930.199200000003</v>
      </c>
      <c r="M115" s="56">
        <f t="shared" si="2"/>
        <v>0</v>
      </c>
      <c r="N115" s="56">
        <v>71930.199200000003</v>
      </c>
    </row>
    <row r="116" spans="1:14" ht="21">
      <c r="E116" s="78" t="s">
        <v>269</v>
      </c>
      <c r="F116" s="79" t="s">
        <v>354</v>
      </c>
      <c r="G116" s="56">
        <v>0</v>
      </c>
      <c r="H116" s="56">
        <v>0</v>
      </c>
      <c r="I116" s="56">
        <v>3830037.5</v>
      </c>
      <c r="J116" s="56">
        <v>3830037.5</v>
      </c>
      <c r="K116" s="56">
        <v>3830037.5</v>
      </c>
      <c r="L116" s="56">
        <v>3830037.5</v>
      </c>
      <c r="M116" s="56">
        <f t="shared" si="2"/>
        <v>8.3999999798834324E-2</v>
      </c>
      <c r="N116" s="56">
        <v>3830037.4160000002</v>
      </c>
    </row>
    <row r="117" spans="1:14" ht="21">
      <c r="D117" s="85" t="s">
        <v>358</v>
      </c>
      <c r="F117" s="79" t="s">
        <v>359</v>
      </c>
      <c r="G117" s="56">
        <v>662564</v>
      </c>
      <c r="H117" s="56">
        <v>620791</v>
      </c>
      <c r="I117" s="56">
        <v>620791</v>
      </c>
      <c r="J117" s="56">
        <v>620791</v>
      </c>
      <c r="K117" s="56">
        <v>620791</v>
      </c>
      <c r="L117" s="56">
        <v>620462.63280000002</v>
      </c>
      <c r="M117" s="56">
        <f t="shared" si="2"/>
        <v>-22.271399999968708</v>
      </c>
      <c r="N117" s="56">
        <v>620484.90419999999</v>
      </c>
    </row>
    <row r="118" spans="1:14">
      <c r="E118" s="78" t="s">
        <v>261</v>
      </c>
      <c r="F118" s="79" t="s">
        <v>325</v>
      </c>
      <c r="G118" s="56">
        <v>0</v>
      </c>
      <c r="H118" s="56">
        <v>0</v>
      </c>
      <c r="I118" s="56">
        <v>620791</v>
      </c>
      <c r="J118" s="56">
        <v>620791</v>
      </c>
      <c r="K118" s="56">
        <v>620791</v>
      </c>
      <c r="L118" s="56">
        <v>620462.63275999995</v>
      </c>
      <c r="M118" s="56">
        <f t="shared" si="2"/>
        <v>-22.271400000085123</v>
      </c>
      <c r="N118" s="56">
        <v>620484.90416000003</v>
      </c>
    </row>
    <row r="119" spans="1:14" ht="31.5">
      <c r="D119" s="85" t="s">
        <v>291</v>
      </c>
      <c r="F119" s="79" t="s">
        <v>360</v>
      </c>
      <c r="G119" s="56">
        <v>26206587</v>
      </c>
      <c r="H119" s="56">
        <v>25138166.399999999</v>
      </c>
      <c r="I119" s="56">
        <v>25138166.399999999</v>
      </c>
      <c r="J119" s="56">
        <v>25138166.399999999</v>
      </c>
      <c r="K119" s="56">
        <v>25138166.399999999</v>
      </c>
      <c r="L119" s="56">
        <v>25138163.8281</v>
      </c>
      <c r="M119" s="56">
        <f t="shared" si="2"/>
        <v>0</v>
      </c>
      <c r="N119" s="56">
        <v>25138163.8281</v>
      </c>
    </row>
    <row r="120" spans="1:14">
      <c r="E120" s="78" t="s">
        <v>261</v>
      </c>
      <c r="F120" s="79" t="s">
        <v>325</v>
      </c>
      <c r="G120" s="56">
        <v>0</v>
      </c>
      <c r="H120" s="56">
        <v>0</v>
      </c>
      <c r="I120" s="56">
        <v>24470789</v>
      </c>
      <c r="J120" s="56">
        <v>24470789</v>
      </c>
      <c r="K120" s="56">
        <v>24470789</v>
      </c>
      <c r="L120" s="56">
        <v>24470786.428089999</v>
      </c>
      <c r="M120" s="56">
        <f t="shared" si="2"/>
        <v>0</v>
      </c>
      <c r="N120" s="56">
        <v>24470786.428089999</v>
      </c>
    </row>
    <row r="121" spans="1:14">
      <c r="E121" s="78" t="s">
        <v>326</v>
      </c>
      <c r="F121" s="79" t="s">
        <v>327</v>
      </c>
      <c r="G121" s="56">
        <v>0</v>
      </c>
      <c r="H121" s="56">
        <v>0</v>
      </c>
      <c r="I121" s="56">
        <v>667377.4</v>
      </c>
      <c r="J121" s="56">
        <v>667377.4</v>
      </c>
      <c r="K121" s="56">
        <v>667377.4</v>
      </c>
      <c r="L121" s="56">
        <v>667377.4</v>
      </c>
      <c r="M121" s="56">
        <f t="shared" si="2"/>
        <v>0</v>
      </c>
      <c r="N121" s="56">
        <v>667377.4</v>
      </c>
    </row>
    <row r="122" spans="1:14" ht="21">
      <c r="D122" s="85" t="s">
        <v>361</v>
      </c>
      <c r="F122" s="79" t="s">
        <v>362</v>
      </c>
      <c r="G122" s="56">
        <v>1750418</v>
      </c>
      <c r="H122" s="56">
        <v>1657035.4</v>
      </c>
      <c r="I122" s="56">
        <v>1657035.4</v>
      </c>
      <c r="J122" s="56">
        <v>1657035.4</v>
      </c>
      <c r="K122" s="56">
        <v>1657035.4</v>
      </c>
      <c r="L122" s="56">
        <v>1657035.0699</v>
      </c>
      <c r="M122" s="56">
        <f t="shared" si="2"/>
        <v>0</v>
      </c>
      <c r="N122" s="56">
        <v>1657035.0699</v>
      </c>
    </row>
    <row r="123" spans="1:14">
      <c r="E123" s="78" t="s">
        <v>261</v>
      </c>
      <c r="F123" s="79" t="s">
        <v>325</v>
      </c>
      <c r="G123" s="56">
        <v>0</v>
      </c>
      <c r="H123" s="56">
        <v>0</v>
      </c>
      <c r="I123" s="56">
        <v>828465</v>
      </c>
      <c r="J123" s="56">
        <v>828465</v>
      </c>
      <c r="K123" s="56">
        <v>828465</v>
      </c>
      <c r="L123" s="56">
        <v>828465</v>
      </c>
      <c r="M123" s="56">
        <f t="shared" si="2"/>
        <v>0</v>
      </c>
      <c r="N123" s="56">
        <v>828465</v>
      </c>
    </row>
    <row r="124" spans="1:14">
      <c r="E124" s="78" t="s">
        <v>326</v>
      </c>
      <c r="F124" s="79" t="s">
        <v>327</v>
      </c>
      <c r="G124" s="56">
        <v>0</v>
      </c>
      <c r="H124" s="56">
        <v>0</v>
      </c>
      <c r="I124" s="56">
        <v>828570.4</v>
      </c>
      <c r="J124" s="56">
        <v>828570.4</v>
      </c>
      <c r="K124" s="56">
        <v>828570.4</v>
      </c>
      <c r="L124" s="56">
        <v>828570.06987000001</v>
      </c>
      <c r="M124" s="56">
        <f t="shared" si="2"/>
        <v>0</v>
      </c>
      <c r="N124" s="56">
        <v>828570.06987000001</v>
      </c>
    </row>
    <row r="125" spans="1:14">
      <c r="A125" s="74"/>
      <c r="B125" s="74" t="s">
        <v>363</v>
      </c>
      <c r="C125" s="74"/>
      <c r="D125" s="74"/>
      <c r="E125" s="74"/>
      <c r="F125" s="52" t="s">
        <v>364</v>
      </c>
      <c r="G125" s="53">
        <v>23518720</v>
      </c>
      <c r="H125" s="53">
        <v>23648819.100000001</v>
      </c>
      <c r="I125" s="53">
        <v>23645026.100000001</v>
      </c>
      <c r="J125" s="53">
        <v>23645026.100000001</v>
      </c>
      <c r="K125" s="53">
        <v>23645026.100000001</v>
      </c>
      <c r="L125" s="53">
        <v>23641536.906599998</v>
      </c>
      <c r="M125" s="53">
        <f t="shared" si="2"/>
        <v>8288.7203000001609</v>
      </c>
      <c r="N125" s="53">
        <v>23633248.186299998</v>
      </c>
    </row>
    <row r="126" spans="1:14">
      <c r="A126" s="76"/>
      <c r="B126" s="76"/>
      <c r="C126" s="76" t="s">
        <v>322</v>
      </c>
      <c r="D126" s="76"/>
      <c r="E126" s="76"/>
      <c r="F126" s="84" t="s">
        <v>323</v>
      </c>
      <c r="G126" s="55">
        <v>15763931</v>
      </c>
      <c r="H126" s="55">
        <v>15653810</v>
      </c>
      <c r="I126" s="55">
        <v>15650017</v>
      </c>
      <c r="J126" s="55">
        <v>15650017</v>
      </c>
      <c r="K126" s="55">
        <v>15650017</v>
      </c>
      <c r="L126" s="55">
        <v>15647682.782199999</v>
      </c>
      <c r="M126" s="55">
        <f t="shared" si="2"/>
        <v>8288.3876999989152</v>
      </c>
      <c r="N126" s="55">
        <v>15639394.3945</v>
      </c>
    </row>
    <row r="127" spans="1:14" ht="31.5">
      <c r="D127" s="85" t="s">
        <v>261</v>
      </c>
      <c r="F127" s="79" t="s">
        <v>365</v>
      </c>
      <c r="G127" s="56">
        <v>15163418</v>
      </c>
      <c r="H127" s="56">
        <v>15093342.5</v>
      </c>
      <c r="I127" s="56">
        <v>15090431.5</v>
      </c>
      <c r="J127" s="56">
        <v>15090431.5</v>
      </c>
      <c r="K127" s="56">
        <v>15090431.5</v>
      </c>
      <c r="L127" s="56">
        <v>15090424.6109</v>
      </c>
      <c r="M127" s="56">
        <f t="shared" si="2"/>
        <v>7185.579299999401</v>
      </c>
      <c r="N127" s="56">
        <v>15083239.0316</v>
      </c>
    </row>
    <row r="128" spans="1:14">
      <c r="E128" s="78" t="s">
        <v>261</v>
      </c>
      <c r="F128" s="79" t="s">
        <v>325</v>
      </c>
      <c r="G128" s="56">
        <v>0</v>
      </c>
      <c r="H128" s="56">
        <v>0</v>
      </c>
      <c r="I128" s="56">
        <v>386876</v>
      </c>
      <c r="J128" s="56">
        <v>386876</v>
      </c>
      <c r="K128" s="56">
        <v>386876</v>
      </c>
      <c r="L128" s="56">
        <v>386872.39585999999</v>
      </c>
      <c r="M128" s="56">
        <f t="shared" si="2"/>
        <v>1.0089999996125698E-2</v>
      </c>
      <c r="N128" s="56">
        <v>386872.38576999999</v>
      </c>
    </row>
    <row r="129" spans="1:14">
      <c r="E129" s="78" t="s">
        <v>326</v>
      </c>
      <c r="F129" s="79" t="s">
        <v>327</v>
      </c>
      <c r="G129" s="56">
        <v>0</v>
      </c>
      <c r="H129" s="56">
        <v>0</v>
      </c>
      <c r="I129" s="56">
        <v>14703555.5</v>
      </c>
      <c r="J129" s="56">
        <v>14703555.5</v>
      </c>
      <c r="K129" s="56">
        <v>14703555.5</v>
      </c>
      <c r="L129" s="56">
        <v>14703552.21507</v>
      </c>
      <c r="M129" s="56">
        <f t="shared" si="2"/>
        <v>7185.5692599993199</v>
      </c>
      <c r="N129" s="56">
        <v>14696366.645810001</v>
      </c>
    </row>
    <row r="130" spans="1:14">
      <c r="D130" s="85" t="s">
        <v>366</v>
      </c>
      <c r="F130" s="79" t="s">
        <v>367</v>
      </c>
      <c r="G130" s="56">
        <v>600513</v>
      </c>
      <c r="H130" s="56">
        <v>560467.5</v>
      </c>
      <c r="I130" s="56">
        <v>559585.5</v>
      </c>
      <c r="J130" s="56">
        <v>559585.5</v>
      </c>
      <c r="K130" s="56">
        <v>559585.5</v>
      </c>
      <c r="L130" s="56">
        <v>557258.17130000005</v>
      </c>
      <c r="M130" s="56">
        <f t="shared" si="2"/>
        <v>1102.8084000000963</v>
      </c>
      <c r="N130" s="56">
        <v>556155.36289999995</v>
      </c>
    </row>
    <row r="131" spans="1:14">
      <c r="E131" s="78" t="s">
        <v>261</v>
      </c>
      <c r="F131" s="79" t="s">
        <v>325</v>
      </c>
      <c r="G131" s="56">
        <v>0</v>
      </c>
      <c r="H131" s="56">
        <v>0</v>
      </c>
      <c r="I131" s="56">
        <v>25452.9</v>
      </c>
      <c r="J131" s="56">
        <v>25452.9</v>
      </c>
      <c r="K131" s="56">
        <v>25452.9</v>
      </c>
      <c r="L131" s="56">
        <v>24713.5998</v>
      </c>
      <c r="M131" s="56">
        <f t="shared" si="2"/>
        <v>0</v>
      </c>
      <c r="N131" s="56">
        <v>24713.5998</v>
      </c>
    </row>
    <row r="132" spans="1:14">
      <c r="E132" s="78" t="s">
        <v>326</v>
      </c>
      <c r="F132" s="79" t="s">
        <v>327</v>
      </c>
      <c r="G132" s="56">
        <v>0</v>
      </c>
      <c r="H132" s="56">
        <v>0</v>
      </c>
      <c r="I132" s="56">
        <v>534132.6</v>
      </c>
      <c r="J132" s="56">
        <v>534132.6</v>
      </c>
      <c r="K132" s="56">
        <v>534132.6</v>
      </c>
      <c r="L132" s="56">
        <v>532544.57160000002</v>
      </c>
      <c r="M132" s="56">
        <f t="shared" si="2"/>
        <v>1102.8083999999799</v>
      </c>
      <c r="N132" s="56">
        <v>531441.76320000004</v>
      </c>
    </row>
    <row r="133" spans="1:14" ht="22.5">
      <c r="A133" s="76"/>
      <c r="B133" s="76"/>
      <c r="C133" s="76" t="s">
        <v>328</v>
      </c>
      <c r="D133" s="76"/>
      <c r="E133" s="76"/>
      <c r="F133" s="199" t="s">
        <v>329</v>
      </c>
      <c r="G133" s="55">
        <v>7754789</v>
      </c>
      <c r="H133" s="55">
        <v>7995009.0999999996</v>
      </c>
      <c r="I133" s="55">
        <v>7995009.0999999996</v>
      </c>
      <c r="J133" s="55">
        <v>7995009.0999999996</v>
      </c>
      <c r="K133" s="55">
        <v>7995009.0999999996</v>
      </c>
      <c r="L133" s="55">
        <v>7993854.1244000001</v>
      </c>
      <c r="M133" s="55">
        <f t="shared" si="2"/>
        <v>0.3326000003144145</v>
      </c>
      <c r="N133" s="55">
        <v>7993853.7917999998</v>
      </c>
    </row>
    <row r="134" spans="1:14" ht="21">
      <c r="D134" s="214" t="s">
        <v>261</v>
      </c>
      <c r="F134" s="79" t="s">
        <v>368</v>
      </c>
      <c r="G134" s="56">
        <v>7653395</v>
      </c>
      <c r="H134" s="56">
        <v>7898270.0999999996</v>
      </c>
      <c r="I134" s="56">
        <v>7898270.0999999996</v>
      </c>
      <c r="J134" s="56">
        <v>7898270.0999999996</v>
      </c>
      <c r="K134" s="56">
        <v>7898270.0999999996</v>
      </c>
      <c r="L134" s="56">
        <v>7898268.7635000004</v>
      </c>
      <c r="M134" s="56">
        <f t="shared" si="2"/>
        <v>0</v>
      </c>
      <c r="N134" s="56">
        <v>7898268.7635000004</v>
      </c>
    </row>
    <row r="135" spans="1:14">
      <c r="E135" s="78" t="s">
        <v>261</v>
      </c>
      <c r="F135" s="79" t="s">
        <v>325</v>
      </c>
      <c r="G135" s="56">
        <v>0</v>
      </c>
      <c r="H135" s="56">
        <v>0</v>
      </c>
      <c r="I135" s="56">
        <v>153773</v>
      </c>
      <c r="J135" s="56">
        <v>153773</v>
      </c>
      <c r="K135" s="56">
        <v>153773</v>
      </c>
      <c r="L135" s="56">
        <v>153773</v>
      </c>
      <c r="M135" s="56">
        <f t="shared" si="2"/>
        <v>0</v>
      </c>
      <c r="N135" s="56">
        <v>153773</v>
      </c>
    </row>
    <row r="136" spans="1:14">
      <c r="E136" s="78" t="s">
        <v>326</v>
      </c>
      <c r="F136" s="79" t="s">
        <v>327</v>
      </c>
      <c r="G136" s="56">
        <v>0</v>
      </c>
      <c r="H136" s="56">
        <v>0</v>
      </c>
      <c r="I136" s="56">
        <v>7744497.0999999996</v>
      </c>
      <c r="J136" s="56">
        <v>7744497.0999999996</v>
      </c>
      <c r="K136" s="56">
        <v>7744497.0999999996</v>
      </c>
      <c r="L136" s="56">
        <v>7744495.7635000004</v>
      </c>
      <c r="M136" s="56">
        <f t="shared" si="2"/>
        <v>0</v>
      </c>
      <c r="N136" s="56">
        <v>7744495.7635000004</v>
      </c>
    </row>
    <row r="137" spans="1:14">
      <c r="D137" s="85" t="s">
        <v>366</v>
      </c>
      <c r="F137" s="79" t="s">
        <v>369</v>
      </c>
      <c r="G137" s="56">
        <v>101394</v>
      </c>
      <c r="H137" s="56">
        <v>96739</v>
      </c>
      <c r="I137" s="56">
        <v>96739</v>
      </c>
      <c r="J137" s="56">
        <v>96739</v>
      </c>
      <c r="K137" s="56">
        <v>96739</v>
      </c>
      <c r="L137" s="56">
        <v>95585.360799999995</v>
      </c>
      <c r="M137" s="56">
        <f t="shared" si="2"/>
        <v>0.33249999998952262</v>
      </c>
      <c r="N137" s="56">
        <v>95585.028300000005</v>
      </c>
    </row>
    <row r="138" spans="1:14">
      <c r="E138" s="78" t="s">
        <v>261</v>
      </c>
      <c r="F138" s="79" t="s">
        <v>325</v>
      </c>
      <c r="G138" s="56">
        <v>0</v>
      </c>
      <c r="H138" s="56">
        <v>0</v>
      </c>
      <c r="I138" s="56">
        <v>3168</v>
      </c>
      <c r="J138" s="56">
        <v>3168</v>
      </c>
      <c r="K138" s="56">
        <v>3168</v>
      </c>
      <c r="L138" s="56">
        <v>3168</v>
      </c>
      <c r="M138" s="56">
        <f t="shared" si="2"/>
        <v>0</v>
      </c>
      <c r="N138" s="56">
        <v>3168</v>
      </c>
    </row>
    <row r="139" spans="1:14">
      <c r="E139" s="78" t="s">
        <v>326</v>
      </c>
      <c r="F139" s="79" t="s">
        <v>327</v>
      </c>
      <c r="G139" s="56">
        <v>0</v>
      </c>
      <c r="H139" s="56">
        <v>0</v>
      </c>
      <c r="I139" s="56">
        <v>93571</v>
      </c>
      <c r="J139" s="56">
        <v>93571</v>
      </c>
      <c r="K139" s="56">
        <v>93571</v>
      </c>
      <c r="L139" s="56">
        <v>92417.360799999995</v>
      </c>
      <c r="M139" s="56">
        <f t="shared" si="2"/>
        <v>0.33249999998952262</v>
      </c>
      <c r="N139" s="56">
        <v>92417.028300000005</v>
      </c>
    </row>
    <row r="140" spans="1:14">
      <c r="A140" s="74"/>
      <c r="B140" s="74" t="s">
        <v>287</v>
      </c>
      <c r="C140" s="74"/>
      <c r="D140" s="74"/>
      <c r="E140" s="74"/>
      <c r="F140" s="52" t="s">
        <v>288</v>
      </c>
      <c r="G140" s="53">
        <v>90841911</v>
      </c>
      <c r="H140" s="53">
        <v>83539854.400000006</v>
      </c>
      <c r="I140" s="53">
        <v>85067172.400000006</v>
      </c>
      <c r="J140" s="53">
        <v>85067172.400000006</v>
      </c>
      <c r="K140" s="53">
        <v>85067172.400000006</v>
      </c>
      <c r="L140" s="53">
        <v>83097939.994399995</v>
      </c>
      <c r="M140" s="53">
        <f t="shared" si="2"/>
        <v>806137.62240000069</v>
      </c>
      <c r="N140" s="53">
        <v>82291802.371999994</v>
      </c>
    </row>
    <row r="141" spans="1:14" ht="22.5">
      <c r="A141" s="76"/>
      <c r="B141" s="76"/>
      <c r="C141" s="76" t="s">
        <v>370</v>
      </c>
      <c r="D141" s="76"/>
      <c r="E141" s="76"/>
      <c r="F141" s="102" t="s">
        <v>371</v>
      </c>
      <c r="G141" s="55">
        <v>7836</v>
      </c>
      <c r="H141" s="55">
        <v>6115</v>
      </c>
      <c r="I141" s="55">
        <v>6115</v>
      </c>
      <c r="J141" s="55">
        <v>6115</v>
      </c>
      <c r="K141" s="55">
        <v>6115</v>
      </c>
      <c r="L141" s="55">
        <v>4284.4129000000003</v>
      </c>
      <c r="M141" s="55">
        <f t="shared" si="2"/>
        <v>0</v>
      </c>
      <c r="N141" s="55">
        <v>4284.4129000000003</v>
      </c>
    </row>
    <row r="142" spans="1:14" ht="21">
      <c r="D142" s="78" t="s">
        <v>372</v>
      </c>
      <c r="F142" s="79" t="s">
        <v>373</v>
      </c>
      <c r="G142" s="56">
        <v>7836</v>
      </c>
      <c r="H142" s="56">
        <v>6115</v>
      </c>
      <c r="I142" s="56">
        <v>6115</v>
      </c>
      <c r="J142" s="56">
        <v>6115</v>
      </c>
      <c r="K142" s="56">
        <v>6115</v>
      </c>
      <c r="L142" s="56">
        <v>4284.4129000000003</v>
      </c>
      <c r="M142" s="56">
        <f t="shared" si="2"/>
        <v>0</v>
      </c>
      <c r="N142" s="56">
        <v>4284.4129000000003</v>
      </c>
    </row>
    <row r="143" spans="1:14">
      <c r="E143" s="78" t="s">
        <v>326</v>
      </c>
      <c r="F143" s="79" t="s">
        <v>327</v>
      </c>
      <c r="G143" s="56">
        <v>0</v>
      </c>
      <c r="H143" s="56">
        <v>0</v>
      </c>
      <c r="I143" s="56">
        <v>6115</v>
      </c>
      <c r="J143" s="56">
        <v>6115</v>
      </c>
      <c r="K143" s="56">
        <v>6115</v>
      </c>
      <c r="L143" s="56">
        <v>4284.4129000000003</v>
      </c>
      <c r="M143" s="56">
        <f t="shared" si="2"/>
        <v>0</v>
      </c>
      <c r="N143" s="56">
        <v>4284.4129000000003</v>
      </c>
    </row>
    <row r="144" spans="1:14">
      <c r="A144" s="76"/>
      <c r="B144" s="76"/>
      <c r="C144" s="76" t="s">
        <v>322</v>
      </c>
      <c r="D144" s="76"/>
      <c r="E144" s="76"/>
      <c r="F144" s="84" t="s">
        <v>323</v>
      </c>
      <c r="G144" s="55">
        <v>30868527</v>
      </c>
      <c r="H144" s="55">
        <v>24551742.199999999</v>
      </c>
      <c r="I144" s="55">
        <v>24532094</v>
      </c>
      <c r="J144" s="55">
        <v>24532094</v>
      </c>
      <c r="K144" s="55">
        <v>24532094</v>
      </c>
      <c r="L144" s="55">
        <v>22632883.255199999</v>
      </c>
      <c r="M144" s="55">
        <f t="shared" si="2"/>
        <v>22654.598699998111</v>
      </c>
      <c r="N144" s="55">
        <v>22610228.656500001</v>
      </c>
    </row>
    <row r="145" spans="4:14" ht="21">
      <c r="D145" s="85" t="s">
        <v>374</v>
      </c>
      <c r="F145" s="79" t="s">
        <v>375</v>
      </c>
      <c r="G145" s="56">
        <v>1516223</v>
      </c>
      <c r="H145" s="56">
        <v>1431427.9</v>
      </c>
      <c r="I145" s="56">
        <v>1431259.9</v>
      </c>
      <c r="J145" s="56">
        <v>1431259.9</v>
      </c>
      <c r="K145" s="56">
        <v>1431259.9</v>
      </c>
      <c r="L145" s="56">
        <v>1428351.3755000001</v>
      </c>
      <c r="M145" s="56">
        <f t="shared" si="2"/>
        <v>2197.7287000000942</v>
      </c>
      <c r="N145" s="56">
        <v>1426153.6468</v>
      </c>
    </row>
    <row r="146" spans="4:14">
      <c r="E146" s="78" t="s">
        <v>261</v>
      </c>
      <c r="F146" s="79" t="s">
        <v>325</v>
      </c>
      <c r="G146" s="56">
        <v>0</v>
      </c>
      <c r="H146" s="56">
        <v>0</v>
      </c>
      <c r="I146" s="56">
        <v>7539.4</v>
      </c>
      <c r="J146" s="56">
        <v>7539.4</v>
      </c>
      <c r="K146" s="56">
        <v>7539.4</v>
      </c>
      <c r="L146" s="56">
        <v>7010.6958000000004</v>
      </c>
      <c r="M146" s="56">
        <f t="shared" si="2"/>
        <v>0</v>
      </c>
      <c r="N146" s="56">
        <v>7010.6958000000004</v>
      </c>
    </row>
    <row r="147" spans="4:14">
      <c r="E147" s="78" t="s">
        <v>326</v>
      </c>
      <c r="F147" s="79" t="s">
        <v>327</v>
      </c>
      <c r="G147" s="56">
        <v>0</v>
      </c>
      <c r="H147" s="56">
        <v>0</v>
      </c>
      <c r="I147" s="56">
        <v>1423720.5</v>
      </c>
      <c r="J147" s="56">
        <v>1423720.5</v>
      </c>
      <c r="K147" s="56">
        <v>1423720.5</v>
      </c>
      <c r="L147" s="56">
        <v>1421340.6798</v>
      </c>
      <c r="M147" s="56">
        <f t="shared" si="2"/>
        <v>2197.7286000000313</v>
      </c>
      <c r="N147" s="56">
        <v>1419142.9512</v>
      </c>
    </row>
    <row r="148" spans="4:14">
      <c r="D148" s="85" t="s">
        <v>241</v>
      </c>
      <c r="F148" s="79" t="s">
        <v>376</v>
      </c>
      <c r="G148" s="56">
        <v>4156547</v>
      </c>
      <c r="H148" s="56">
        <v>4394796.4000000004</v>
      </c>
      <c r="I148" s="56">
        <v>4303533.4000000004</v>
      </c>
      <c r="J148" s="56">
        <v>4303533.4000000004</v>
      </c>
      <c r="K148" s="56">
        <v>4303533.4000000004</v>
      </c>
      <c r="L148" s="56">
        <v>4211604.1391000003</v>
      </c>
      <c r="M148" s="56">
        <f t="shared" si="2"/>
        <v>10255.594500000589</v>
      </c>
      <c r="N148" s="56">
        <v>4201348.5445999997</v>
      </c>
    </row>
    <row r="149" spans="4:14">
      <c r="E149" s="78" t="s">
        <v>261</v>
      </c>
      <c r="F149" s="79" t="s">
        <v>325</v>
      </c>
      <c r="G149" s="56">
        <v>0</v>
      </c>
      <c r="H149" s="56">
        <v>0</v>
      </c>
      <c r="I149" s="56">
        <v>2012733</v>
      </c>
      <c r="J149" s="56">
        <v>2012733</v>
      </c>
      <c r="K149" s="56">
        <v>2012733</v>
      </c>
      <c r="L149" s="56">
        <v>1921089.5656000001</v>
      </c>
      <c r="M149" s="56">
        <f t="shared" si="2"/>
        <v>2.0000000949949026E-3</v>
      </c>
      <c r="N149" s="56">
        <v>1921089.5636</v>
      </c>
    </row>
    <row r="150" spans="4:14">
      <c r="E150" s="78" t="s">
        <v>326</v>
      </c>
      <c r="F150" s="79" t="s">
        <v>327</v>
      </c>
      <c r="G150" s="56">
        <v>0</v>
      </c>
      <c r="H150" s="56">
        <v>0</v>
      </c>
      <c r="I150" s="56">
        <v>2290800.4</v>
      </c>
      <c r="J150" s="56">
        <v>2290800.4</v>
      </c>
      <c r="K150" s="56">
        <v>2290800.4</v>
      </c>
      <c r="L150" s="56">
        <v>2290514.5735999998</v>
      </c>
      <c r="M150" s="56">
        <f t="shared" si="2"/>
        <v>10255.592499999795</v>
      </c>
      <c r="N150" s="56">
        <v>2280258.9811</v>
      </c>
    </row>
    <row r="151" spans="4:14">
      <c r="D151" s="85" t="s">
        <v>297</v>
      </c>
      <c r="F151" s="79" t="s">
        <v>377</v>
      </c>
      <c r="G151" s="56">
        <v>797499</v>
      </c>
      <c r="H151" s="56">
        <v>763815</v>
      </c>
      <c r="I151" s="56">
        <v>762566</v>
      </c>
      <c r="J151" s="56">
        <v>762566</v>
      </c>
      <c r="K151" s="56">
        <v>762566</v>
      </c>
      <c r="L151" s="56">
        <v>762415.60759999999</v>
      </c>
      <c r="M151" s="56">
        <f t="shared" si="2"/>
        <v>910.31359999999404</v>
      </c>
      <c r="N151" s="56">
        <v>761505.29399999999</v>
      </c>
    </row>
    <row r="152" spans="4:14">
      <c r="E152" s="78" t="s">
        <v>261</v>
      </c>
      <c r="F152" s="79" t="s">
        <v>325</v>
      </c>
      <c r="G152" s="56">
        <v>0</v>
      </c>
      <c r="H152" s="56">
        <v>0</v>
      </c>
      <c r="I152" s="56">
        <v>19978</v>
      </c>
      <c r="J152" s="56">
        <v>19978</v>
      </c>
      <c r="K152" s="56">
        <v>19978</v>
      </c>
      <c r="L152" s="56">
        <v>19977.998640000002</v>
      </c>
      <c r="M152" s="56">
        <f t="shared" si="2"/>
        <v>165.33902000000307</v>
      </c>
      <c r="N152" s="56">
        <v>19812.659619999999</v>
      </c>
    </row>
    <row r="153" spans="4:14">
      <c r="E153" s="78" t="s">
        <v>326</v>
      </c>
      <c r="F153" s="79" t="s">
        <v>327</v>
      </c>
      <c r="G153" s="56">
        <v>0</v>
      </c>
      <c r="H153" s="56">
        <v>0</v>
      </c>
      <c r="I153" s="56">
        <v>742588</v>
      </c>
      <c r="J153" s="56">
        <v>742588</v>
      </c>
      <c r="K153" s="56">
        <v>742588</v>
      </c>
      <c r="L153" s="56">
        <v>742437.60892000003</v>
      </c>
      <c r="M153" s="56">
        <f t="shared" si="2"/>
        <v>744.97450000001118</v>
      </c>
      <c r="N153" s="56">
        <v>741692.63442000002</v>
      </c>
    </row>
    <row r="154" spans="4:14" ht="21">
      <c r="D154" s="85" t="s">
        <v>299</v>
      </c>
      <c r="F154" s="79" t="s">
        <v>378</v>
      </c>
      <c r="G154" s="56">
        <v>342427</v>
      </c>
      <c r="H154" s="56">
        <v>356785.4</v>
      </c>
      <c r="I154" s="56">
        <v>356785.4</v>
      </c>
      <c r="J154" s="56">
        <v>356785.4</v>
      </c>
      <c r="K154" s="56">
        <v>356785.4</v>
      </c>
      <c r="L154" s="56">
        <v>355797.53159999999</v>
      </c>
      <c r="M154" s="56">
        <f t="shared" si="2"/>
        <v>10.112299999978859</v>
      </c>
      <c r="N154" s="56">
        <v>355787.41930000001</v>
      </c>
    </row>
    <row r="155" spans="4:14">
      <c r="D155" s="85" t="s">
        <v>279</v>
      </c>
      <c r="F155" s="79" t="s">
        <v>379</v>
      </c>
      <c r="G155" s="56">
        <v>798681</v>
      </c>
      <c r="H155" s="56">
        <v>743463</v>
      </c>
      <c r="I155" s="56">
        <v>743463</v>
      </c>
      <c r="J155" s="56">
        <v>743463</v>
      </c>
      <c r="K155" s="56">
        <v>743463</v>
      </c>
      <c r="L155" s="56">
        <v>743457.82900000003</v>
      </c>
      <c r="M155" s="56">
        <f t="shared" si="2"/>
        <v>25</v>
      </c>
      <c r="N155" s="56">
        <v>743432.82900000003</v>
      </c>
    </row>
    <row r="156" spans="4:14">
      <c r="E156" s="78" t="s">
        <v>261</v>
      </c>
      <c r="F156" s="79" t="s">
        <v>325</v>
      </c>
      <c r="G156" s="56">
        <v>0</v>
      </c>
      <c r="H156" s="56">
        <v>0</v>
      </c>
      <c r="I156" s="56">
        <v>22506</v>
      </c>
      <c r="J156" s="56">
        <v>22506</v>
      </c>
      <c r="K156" s="56">
        <v>22506</v>
      </c>
      <c r="L156" s="56">
        <v>22506</v>
      </c>
      <c r="M156" s="56">
        <f t="shared" si="2"/>
        <v>0</v>
      </c>
      <c r="N156" s="56">
        <v>22506</v>
      </c>
    </row>
    <row r="157" spans="4:14">
      <c r="E157" s="78" t="s">
        <v>326</v>
      </c>
      <c r="F157" s="79" t="s">
        <v>327</v>
      </c>
      <c r="G157" s="56">
        <v>0</v>
      </c>
      <c r="H157" s="56">
        <v>0</v>
      </c>
      <c r="I157" s="56">
        <v>720957</v>
      </c>
      <c r="J157" s="56">
        <v>720957</v>
      </c>
      <c r="K157" s="56">
        <v>720957</v>
      </c>
      <c r="L157" s="56">
        <v>720951.82900000003</v>
      </c>
      <c r="M157" s="56">
        <f t="shared" si="2"/>
        <v>25</v>
      </c>
      <c r="N157" s="56">
        <v>720926.82900000003</v>
      </c>
    </row>
    <row r="158" spans="4:14" ht="21">
      <c r="D158" s="85" t="s">
        <v>311</v>
      </c>
      <c r="F158" s="79" t="s">
        <v>380</v>
      </c>
      <c r="G158" s="56">
        <v>108902</v>
      </c>
      <c r="H158" s="56">
        <v>105302</v>
      </c>
      <c r="I158" s="56">
        <v>105302</v>
      </c>
      <c r="J158" s="56">
        <v>105302</v>
      </c>
      <c r="K158" s="56">
        <v>105302</v>
      </c>
      <c r="L158" s="56">
        <v>105302</v>
      </c>
      <c r="M158" s="56">
        <f t="shared" si="2"/>
        <v>0</v>
      </c>
      <c r="N158" s="56">
        <v>105302</v>
      </c>
    </row>
    <row r="159" spans="4:14">
      <c r="D159" s="85" t="s">
        <v>381</v>
      </c>
      <c r="F159" s="79" t="s">
        <v>382</v>
      </c>
      <c r="G159" s="56">
        <v>24338</v>
      </c>
      <c r="H159" s="56">
        <v>24338</v>
      </c>
      <c r="I159" s="56">
        <v>24338</v>
      </c>
      <c r="J159" s="56">
        <v>24338</v>
      </c>
      <c r="K159" s="56">
        <v>24338</v>
      </c>
      <c r="L159" s="56">
        <v>24338</v>
      </c>
      <c r="M159" s="56">
        <f t="shared" si="2"/>
        <v>0</v>
      </c>
      <c r="N159" s="56">
        <v>24338</v>
      </c>
    </row>
    <row r="160" spans="4:14">
      <c r="E160" s="78" t="s">
        <v>326</v>
      </c>
      <c r="F160" s="79" t="s">
        <v>327</v>
      </c>
      <c r="G160" s="56">
        <v>0</v>
      </c>
      <c r="H160" s="56">
        <v>0</v>
      </c>
      <c r="I160" s="56">
        <v>24338</v>
      </c>
      <c r="J160" s="56">
        <v>24338</v>
      </c>
      <c r="K160" s="56">
        <v>24338</v>
      </c>
      <c r="L160" s="56">
        <v>24338</v>
      </c>
      <c r="M160" s="56">
        <f t="shared" si="2"/>
        <v>0</v>
      </c>
      <c r="N160" s="56">
        <v>24338</v>
      </c>
    </row>
    <row r="161" spans="1:14">
      <c r="D161" s="85" t="s">
        <v>383</v>
      </c>
      <c r="F161" s="79" t="s">
        <v>384</v>
      </c>
      <c r="G161" s="56">
        <v>24091</v>
      </c>
      <c r="H161" s="56">
        <v>25795.5</v>
      </c>
      <c r="I161" s="56">
        <v>25795.5</v>
      </c>
      <c r="J161" s="56">
        <v>25795.5</v>
      </c>
      <c r="K161" s="56">
        <v>25795.5</v>
      </c>
      <c r="L161" s="56">
        <v>24844.874100000001</v>
      </c>
      <c r="M161" s="56">
        <f t="shared" si="2"/>
        <v>986.6710000000021</v>
      </c>
      <c r="N161" s="56">
        <v>23858.203099999999</v>
      </c>
    </row>
    <row r="162" spans="1:14">
      <c r="D162" s="85" t="s">
        <v>385</v>
      </c>
      <c r="F162" s="79" t="s">
        <v>1488</v>
      </c>
      <c r="G162" s="56">
        <v>23099819</v>
      </c>
      <c r="H162" s="56">
        <v>16681019</v>
      </c>
      <c r="I162" s="56">
        <v>16681019</v>
      </c>
      <c r="J162" s="56">
        <v>16681019</v>
      </c>
      <c r="K162" s="56">
        <v>16681019</v>
      </c>
      <c r="L162" s="56">
        <v>14878740.4133</v>
      </c>
      <c r="M162" s="56">
        <f t="shared" si="2"/>
        <v>919.17870000004768</v>
      </c>
      <c r="N162" s="56">
        <v>14877821.2346</v>
      </c>
    </row>
    <row r="163" spans="1:14">
      <c r="E163" s="78" t="s">
        <v>326</v>
      </c>
      <c r="F163" s="79" t="s">
        <v>327</v>
      </c>
      <c r="G163" s="56">
        <v>0</v>
      </c>
      <c r="H163" s="56">
        <v>0</v>
      </c>
      <c r="I163" s="56">
        <v>16681019</v>
      </c>
      <c r="J163" s="56">
        <v>16681019</v>
      </c>
      <c r="K163" s="56">
        <v>16681019</v>
      </c>
      <c r="L163" s="56">
        <v>14878740.4133</v>
      </c>
      <c r="M163" s="56">
        <f t="shared" si="2"/>
        <v>919.17870000004768</v>
      </c>
      <c r="N163" s="56">
        <v>14877821.2346</v>
      </c>
    </row>
    <row r="164" spans="1:14" ht="21">
      <c r="D164" s="85" t="s">
        <v>386</v>
      </c>
      <c r="F164" s="79" t="s">
        <v>387</v>
      </c>
      <c r="G164" s="56">
        <v>0</v>
      </c>
      <c r="H164" s="56">
        <v>25000</v>
      </c>
      <c r="I164" s="56">
        <v>25000</v>
      </c>
      <c r="J164" s="56">
        <v>25000</v>
      </c>
      <c r="K164" s="56">
        <v>25000</v>
      </c>
      <c r="L164" s="56">
        <v>25000</v>
      </c>
      <c r="M164" s="56">
        <f t="shared" si="2"/>
        <v>0</v>
      </c>
      <c r="N164" s="56">
        <v>25000</v>
      </c>
    </row>
    <row r="165" spans="1:14" ht="31.5">
      <c r="D165" s="85" t="s">
        <v>388</v>
      </c>
      <c r="F165" s="79" t="s">
        <v>389</v>
      </c>
      <c r="G165" s="56">
        <v>0</v>
      </c>
      <c r="H165" s="56">
        <v>0</v>
      </c>
      <c r="I165" s="56">
        <v>1604.3</v>
      </c>
      <c r="J165" s="56">
        <v>1604.3</v>
      </c>
      <c r="K165" s="56">
        <v>1604.3</v>
      </c>
      <c r="L165" s="56">
        <v>1604</v>
      </c>
      <c r="M165" s="56">
        <f t="shared" si="2"/>
        <v>0</v>
      </c>
      <c r="N165" s="56">
        <v>1604</v>
      </c>
    </row>
    <row r="166" spans="1:14" ht="21">
      <c r="D166" s="85" t="s">
        <v>390</v>
      </c>
      <c r="F166" s="79" t="s">
        <v>391</v>
      </c>
      <c r="G166" s="56">
        <v>0</v>
      </c>
      <c r="H166" s="56">
        <v>0</v>
      </c>
      <c r="I166" s="56">
        <v>257</v>
      </c>
      <c r="J166" s="56">
        <v>257</v>
      </c>
      <c r="K166" s="56">
        <v>257</v>
      </c>
      <c r="L166" s="56">
        <v>256.98500000000001</v>
      </c>
      <c r="M166" s="56">
        <f t="shared" si="2"/>
        <v>0</v>
      </c>
      <c r="N166" s="56">
        <v>256.98500000000001</v>
      </c>
    </row>
    <row r="167" spans="1:14" ht="42">
      <c r="D167" s="85" t="s">
        <v>392</v>
      </c>
      <c r="F167" s="79" t="s">
        <v>393</v>
      </c>
      <c r="G167" s="56">
        <v>0</v>
      </c>
      <c r="H167" s="56">
        <v>0</v>
      </c>
      <c r="I167" s="56">
        <v>71170.5</v>
      </c>
      <c r="J167" s="56">
        <v>71170.5</v>
      </c>
      <c r="K167" s="56">
        <v>71170.5</v>
      </c>
      <c r="L167" s="56">
        <v>71170.5</v>
      </c>
      <c r="M167" s="56">
        <f t="shared" si="2"/>
        <v>7350</v>
      </c>
      <c r="N167" s="56">
        <v>63820.5</v>
      </c>
    </row>
    <row r="168" spans="1:14">
      <c r="A168" s="76"/>
      <c r="B168" s="76"/>
      <c r="C168" s="76" t="s">
        <v>396</v>
      </c>
      <c r="D168" s="76"/>
      <c r="E168" s="76"/>
      <c r="F168" s="90" t="s">
        <v>397</v>
      </c>
      <c r="G168" s="55">
        <v>25673028</v>
      </c>
      <c r="H168" s="55">
        <v>22388550.399999999</v>
      </c>
      <c r="I168" s="55">
        <v>23629442.399999999</v>
      </c>
      <c r="J168" s="55">
        <v>23629442.399999999</v>
      </c>
      <c r="K168" s="55">
        <v>23629442.399999999</v>
      </c>
      <c r="L168" s="55">
        <v>23618904.341499999</v>
      </c>
      <c r="M168" s="55">
        <f t="shared" si="2"/>
        <v>441250.95169999823</v>
      </c>
      <c r="N168" s="55">
        <v>23177653.389800001</v>
      </c>
    </row>
    <row r="169" spans="1:14">
      <c r="D169" s="85" t="s">
        <v>358</v>
      </c>
      <c r="F169" s="79" t="s">
        <v>292</v>
      </c>
      <c r="G169" s="56">
        <v>24721114</v>
      </c>
      <c r="H169" s="56">
        <v>21591363.800000001</v>
      </c>
      <c r="I169" s="56">
        <v>21635359.800000001</v>
      </c>
      <c r="J169" s="56">
        <v>21635359.800000001</v>
      </c>
      <c r="K169" s="56">
        <v>21635359.800000001</v>
      </c>
      <c r="L169" s="56">
        <v>21624867.529399998</v>
      </c>
      <c r="M169" s="56">
        <f t="shared" si="2"/>
        <v>423013.91759999841</v>
      </c>
      <c r="N169" s="56">
        <v>21201853.6118</v>
      </c>
    </row>
    <row r="170" spans="1:14">
      <c r="E170" s="78" t="s">
        <v>261</v>
      </c>
      <c r="F170" s="79" t="s">
        <v>325</v>
      </c>
      <c r="G170" s="56">
        <v>0</v>
      </c>
      <c r="H170" s="56">
        <v>0</v>
      </c>
      <c r="I170" s="56">
        <v>14069216</v>
      </c>
      <c r="J170" s="56">
        <v>14069216</v>
      </c>
      <c r="K170" s="56">
        <v>14069216</v>
      </c>
      <c r="L170" s="56">
        <v>14069215.9999</v>
      </c>
      <c r="M170" s="56">
        <f t="shared" si="2"/>
        <v>335787.00610999949</v>
      </c>
      <c r="N170" s="56">
        <v>13733428.993790001</v>
      </c>
    </row>
    <row r="171" spans="1:14">
      <c r="E171" s="78" t="s">
        <v>326</v>
      </c>
      <c r="F171" s="79" t="s">
        <v>327</v>
      </c>
      <c r="G171" s="56">
        <v>0</v>
      </c>
      <c r="H171" s="56">
        <v>0</v>
      </c>
      <c r="I171" s="56">
        <v>7566143.7999999998</v>
      </c>
      <c r="J171" s="56">
        <v>7566143.7999999998</v>
      </c>
      <c r="K171" s="56">
        <v>7566143.7999999998</v>
      </c>
      <c r="L171" s="56">
        <v>7555651.5295000002</v>
      </c>
      <c r="M171" s="56">
        <f t="shared" ref="M171:M217" si="3">L171-N171</f>
        <v>87226.911500000395</v>
      </c>
      <c r="N171" s="56">
        <v>7468424.6179999998</v>
      </c>
    </row>
    <row r="172" spans="1:14" ht="21">
      <c r="D172" s="85" t="s">
        <v>398</v>
      </c>
      <c r="F172" s="79" t="s">
        <v>1489</v>
      </c>
      <c r="G172" s="56">
        <v>951914</v>
      </c>
      <c r="H172" s="56">
        <v>797186.6</v>
      </c>
      <c r="I172" s="56">
        <v>1994082.6</v>
      </c>
      <c r="J172" s="56">
        <v>1994082.6</v>
      </c>
      <c r="K172" s="56">
        <v>1994082.6</v>
      </c>
      <c r="L172" s="56">
        <v>1994036.8121</v>
      </c>
      <c r="M172" s="56">
        <f t="shared" si="3"/>
        <v>18237.034100000048</v>
      </c>
      <c r="N172" s="56">
        <v>1975799.7779999999</v>
      </c>
    </row>
    <row r="173" spans="1:14">
      <c r="E173" s="78" t="s">
        <v>261</v>
      </c>
      <c r="F173" s="79" t="s">
        <v>325</v>
      </c>
      <c r="G173" s="56">
        <v>0</v>
      </c>
      <c r="H173" s="56">
        <v>0</v>
      </c>
      <c r="I173" s="56">
        <v>1196896</v>
      </c>
      <c r="J173" s="56">
        <v>1196896</v>
      </c>
      <c r="K173" s="56">
        <v>1196896</v>
      </c>
      <c r="L173" s="56">
        <v>1196894.40059</v>
      </c>
      <c r="M173" s="56">
        <f t="shared" si="3"/>
        <v>10926.507350000087</v>
      </c>
      <c r="N173" s="56">
        <v>1185967.8932399999</v>
      </c>
    </row>
    <row r="174" spans="1:14">
      <c r="E174" s="78" t="s">
        <v>326</v>
      </c>
      <c r="F174" s="79" t="s">
        <v>327</v>
      </c>
      <c r="G174" s="56">
        <v>0</v>
      </c>
      <c r="H174" s="56">
        <v>0</v>
      </c>
      <c r="I174" s="56">
        <v>797186.6</v>
      </c>
      <c r="J174" s="56">
        <v>797186.6</v>
      </c>
      <c r="K174" s="56">
        <v>797186.6</v>
      </c>
      <c r="L174" s="56">
        <v>797142.41150000005</v>
      </c>
      <c r="M174" s="56">
        <f t="shared" si="3"/>
        <v>7310.5267000000458</v>
      </c>
      <c r="N174" s="56">
        <v>789831.8848</v>
      </c>
    </row>
    <row r="175" spans="1:14" ht="22.5">
      <c r="A175" s="76"/>
      <c r="B175" s="76"/>
      <c r="C175" s="76" t="s">
        <v>399</v>
      </c>
      <c r="D175" s="76"/>
      <c r="E175" s="76"/>
      <c r="F175" s="94" t="s">
        <v>4</v>
      </c>
      <c r="G175" s="55">
        <v>8942408</v>
      </c>
      <c r="H175" s="55">
        <v>9244977</v>
      </c>
      <c r="I175" s="55">
        <v>9381914</v>
      </c>
      <c r="J175" s="55">
        <v>9381914</v>
      </c>
      <c r="K175" s="55">
        <v>9381914</v>
      </c>
      <c r="L175" s="55">
        <v>9381261.6580999997</v>
      </c>
      <c r="M175" s="55">
        <f t="shared" si="3"/>
        <v>0</v>
      </c>
      <c r="N175" s="55">
        <v>9381261.6580999997</v>
      </c>
    </row>
    <row r="176" spans="1:14">
      <c r="D176" s="85" t="s">
        <v>297</v>
      </c>
      <c r="F176" s="79" t="s">
        <v>292</v>
      </c>
      <c r="G176" s="56">
        <v>8691417</v>
      </c>
      <c r="H176" s="56">
        <v>8952795</v>
      </c>
      <c r="I176" s="56">
        <v>8952795</v>
      </c>
      <c r="J176" s="56">
        <v>8952795</v>
      </c>
      <c r="K176" s="56">
        <v>8952795</v>
      </c>
      <c r="L176" s="56">
        <v>8952250.5098000001</v>
      </c>
      <c r="M176" s="56">
        <f t="shared" si="3"/>
        <v>0</v>
      </c>
      <c r="N176" s="56">
        <v>8952250.5098000001</v>
      </c>
    </row>
    <row r="177" spans="1:14">
      <c r="E177" s="78" t="s">
        <v>261</v>
      </c>
      <c r="F177" s="79" t="s">
        <v>325</v>
      </c>
      <c r="G177" s="56">
        <v>0</v>
      </c>
      <c r="H177" s="56">
        <v>0</v>
      </c>
      <c r="I177" s="56">
        <v>6788980</v>
      </c>
      <c r="J177" s="56">
        <v>6788980</v>
      </c>
      <c r="K177" s="56">
        <v>6788980</v>
      </c>
      <c r="L177" s="56">
        <v>6788980</v>
      </c>
      <c r="M177" s="56">
        <f t="shared" si="3"/>
        <v>0</v>
      </c>
      <c r="N177" s="56">
        <v>6788980</v>
      </c>
    </row>
    <row r="178" spans="1:14">
      <c r="E178" s="78" t="s">
        <v>326</v>
      </c>
      <c r="F178" s="79" t="s">
        <v>327</v>
      </c>
      <c r="G178" s="56">
        <v>0</v>
      </c>
      <c r="H178" s="56">
        <v>0</v>
      </c>
      <c r="I178" s="56">
        <v>2163815</v>
      </c>
      <c r="J178" s="56">
        <v>2163815</v>
      </c>
      <c r="K178" s="56">
        <v>2163815</v>
      </c>
      <c r="L178" s="56">
        <v>2163270.5097699999</v>
      </c>
      <c r="M178" s="56">
        <f t="shared" si="3"/>
        <v>0</v>
      </c>
      <c r="N178" s="56">
        <v>2163270.5097699999</v>
      </c>
    </row>
    <row r="179" spans="1:14" ht="21">
      <c r="D179" s="85" t="s">
        <v>398</v>
      </c>
      <c r="F179" s="79" t="s">
        <v>1489</v>
      </c>
      <c r="G179" s="56">
        <v>250991</v>
      </c>
      <c r="H179" s="56">
        <v>292182</v>
      </c>
      <c r="I179" s="56">
        <v>429119</v>
      </c>
      <c r="J179" s="56">
        <v>429119</v>
      </c>
      <c r="K179" s="56">
        <v>429119</v>
      </c>
      <c r="L179" s="56">
        <v>429011.14840000001</v>
      </c>
      <c r="M179" s="56">
        <f t="shared" si="3"/>
        <v>0</v>
      </c>
      <c r="N179" s="56">
        <v>429011.14840000001</v>
      </c>
    </row>
    <row r="180" spans="1:14">
      <c r="E180" s="78" t="s">
        <v>261</v>
      </c>
      <c r="F180" s="79" t="s">
        <v>325</v>
      </c>
      <c r="G180" s="56">
        <v>0</v>
      </c>
      <c r="H180" s="56">
        <v>0</v>
      </c>
      <c r="I180" s="56">
        <v>136937</v>
      </c>
      <c r="J180" s="56">
        <v>136937</v>
      </c>
      <c r="K180" s="56">
        <v>136937</v>
      </c>
      <c r="L180" s="56">
        <v>136934.42063000001</v>
      </c>
      <c r="M180" s="56">
        <f t="shared" si="3"/>
        <v>0</v>
      </c>
      <c r="N180" s="56">
        <v>136934.42063000001</v>
      </c>
    </row>
    <row r="181" spans="1:14">
      <c r="E181" s="78" t="s">
        <v>326</v>
      </c>
      <c r="F181" s="79" t="s">
        <v>327</v>
      </c>
      <c r="G181" s="56">
        <v>0</v>
      </c>
      <c r="H181" s="56">
        <v>0</v>
      </c>
      <c r="I181" s="56">
        <v>292182</v>
      </c>
      <c r="J181" s="56">
        <v>292182</v>
      </c>
      <c r="K181" s="56">
        <v>292182</v>
      </c>
      <c r="L181" s="56">
        <v>292076.72772000002</v>
      </c>
      <c r="M181" s="56">
        <f t="shared" si="3"/>
        <v>0</v>
      </c>
      <c r="N181" s="56">
        <v>292076.72772000002</v>
      </c>
    </row>
    <row r="182" spans="1:14" ht="22.5">
      <c r="A182" s="76"/>
      <c r="B182" s="76"/>
      <c r="C182" s="76" t="s">
        <v>400</v>
      </c>
      <c r="D182" s="76"/>
      <c r="E182" s="76"/>
      <c r="F182" s="93" t="s">
        <v>5</v>
      </c>
      <c r="G182" s="55">
        <v>1864016</v>
      </c>
      <c r="H182" s="55">
        <v>5380417.5</v>
      </c>
      <c r="I182" s="55">
        <v>5411816.7999999998</v>
      </c>
      <c r="J182" s="55">
        <v>5411816.7999999998</v>
      </c>
      <c r="K182" s="55">
        <v>5411816.7999999998</v>
      </c>
      <c r="L182" s="55">
        <v>5409631.6720000003</v>
      </c>
      <c r="M182" s="55">
        <f t="shared" si="3"/>
        <v>67072.300900000148</v>
      </c>
      <c r="N182" s="55">
        <v>5342559.3711000001</v>
      </c>
    </row>
    <row r="183" spans="1:14">
      <c r="D183" s="85" t="s">
        <v>358</v>
      </c>
      <c r="F183" s="79" t="s">
        <v>292</v>
      </c>
      <c r="G183" s="56">
        <v>1855118</v>
      </c>
      <c r="H183" s="56">
        <v>5333985.7</v>
      </c>
      <c r="I183" s="56">
        <v>5333985.7</v>
      </c>
      <c r="J183" s="56">
        <v>5333985.7</v>
      </c>
      <c r="K183" s="56">
        <v>5333985.7</v>
      </c>
      <c r="L183" s="56">
        <v>5332167.2741999999</v>
      </c>
      <c r="M183" s="56">
        <f t="shared" si="3"/>
        <v>67072.300900000148</v>
      </c>
      <c r="N183" s="56">
        <v>5265094.9732999997</v>
      </c>
    </row>
    <row r="184" spans="1:14">
      <c r="E184" s="78" t="s">
        <v>261</v>
      </c>
      <c r="F184" s="79" t="s">
        <v>325</v>
      </c>
      <c r="G184" s="56">
        <v>0</v>
      </c>
      <c r="H184" s="56">
        <v>0</v>
      </c>
      <c r="I184" s="56">
        <v>2342487</v>
      </c>
      <c r="J184" s="56">
        <v>2342487</v>
      </c>
      <c r="K184" s="56">
        <v>2342487</v>
      </c>
      <c r="L184" s="56">
        <v>2342486.9992</v>
      </c>
      <c r="M184" s="56">
        <f t="shared" si="3"/>
        <v>0</v>
      </c>
      <c r="N184" s="56">
        <v>2342486.9992</v>
      </c>
    </row>
    <row r="185" spans="1:14">
      <c r="E185" s="78" t="s">
        <v>326</v>
      </c>
      <c r="F185" s="79" t="s">
        <v>327</v>
      </c>
      <c r="G185" s="56">
        <v>0</v>
      </c>
      <c r="H185" s="56">
        <v>0</v>
      </c>
      <c r="I185" s="56">
        <v>2991498.7</v>
      </c>
      <c r="J185" s="56">
        <v>2991498.7</v>
      </c>
      <c r="K185" s="56">
        <v>2991498.7</v>
      </c>
      <c r="L185" s="56">
        <v>2989680.2749999999</v>
      </c>
      <c r="M185" s="56">
        <f t="shared" si="3"/>
        <v>67072.300899999682</v>
      </c>
      <c r="N185" s="56">
        <v>2922607.9741000002</v>
      </c>
    </row>
    <row r="186" spans="1:14" ht="21">
      <c r="D186" s="85" t="s">
        <v>398</v>
      </c>
      <c r="F186" s="79" t="s">
        <v>1489</v>
      </c>
      <c r="G186" s="56">
        <v>8898</v>
      </c>
      <c r="H186" s="56">
        <v>46431.8</v>
      </c>
      <c r="I186" s="56">
        <v>77831.100000000006</v>
      </c>
      <c r="J186" s="56">
        <v>77831.100000000006</v>
      </c>
      <c r="K186" s="56">
        <v>77831.100000000006</v>
      </c>
      <c r="L186" s="56">
        <v>77464.397800000006</v>
      </c>
      <c r="M186" s="56">
        <f t="shared" si="3"/>
        <v>0</v>
      </c>
      <c r="N186" s="56">
        <v>77464.397800000006</v>
      </c>
    </row>
    <row r="187" spans="1:14">
      <c r="E187" s="78" t="s">
        <v>261</v>
      </c>
      <c r="F187" s="79" t="s">
        <v>325</v>
      </c>
      <c r="G187" s="56">
        <v>0</v>
      </c>
      <c r="H187" s="56">
        <v>0</v>
      </c>
      <c r="I187" s="56">
        <v>41474</v>
      </c>
      <c r="J187" s="56">
        <v>41474</v>
      </c>
      <c r="K187" s="56">
        <v>41474</v>
      </c>
      <c r="L187" s="56">
        <v>41474</v>
      </c>
      <c r="M187" s="56">
        <f t="shared" si="3"/>
        <v>0</v>
      </c>
      <c r="N187" s="56">
        <v>41474</v>
      </c>
    </row>
    <row r="188" spans="1:14">
      <c r="E188" s="78" t="s">
        <v>326</v>
      </c>
      <c r="F188" s="79" t="s">
        <v>327</v>
      </c>
      <c r="G188" s="56">
        <v>0</v>
      </c>
      <c r="H188" s="56">
        <v>0</v>
      </c>
      <c r="I188" s="56">
        <v>36357.1</v>
      </c>
      <c r="J188" s="56">
        <v>36357.1</v>
      </c>
      <c r="K188" s="56">
        <v>36357.1</v>
      </c>
      <c r="L188" s="56">
        <v>35990.397830000002</v>
      </c>
      <c r="M188" s="56">
        <f t="shared" si="3"/>
        <v>0</v>
      </c>
      <c r="N188" s="56">
        <v>35990.397830000002</v>
      </c>
    </row>
    <row r="189" spans="1:14" ht="22.5">
      <c r="A189" s="76"/>
      <c r="B189" s="76"/>
      <c r="C189" s="76" t="s">
        <v>328</v>
      </c>
      <c r="D189" s="76"/>
      <c r="E189" s="76"/>
      <c r="F189" s="199" t="s">
        <v>329</v>
      </c>
      <c r="G189" s="55">
        <v>7049612</v>
      </c>
      <c r="H189" s="55">
        <v>6135415.0999999996</v>
      </c>
      <c r="I189" s="55">
        <v>6273153</v>
      </c>
      <c r="J189" s="55">
        <v>6273153</v>
      </c>
      <c r="K189" s="55">
        <v>6273153</v>
      </c>
      <c r="L189" s="55">
        <v>6245826.4923999999</v>
      </c>
      <c r="M189" s="55">
        <f t="shared" si="3"/>
        <v>6196.3429999994114</v>
      </c>
      <c r="N189" s="55">
        <v>6239630.1494000005</v>
      </c>
    </row>
    <row r="190" spans="1:14" ht="21">
      <c r="D190" s="85" t="s">
        <v>374</v>
      </c>
      <c r="F190" s="79" t="s">
        <v>375</v>
      </c>
      <c r="G190" s="56">
        <v>252696</v>
      </c>
      <c r="H190" s="56">
        <v>236588</v>
      </c>
      <c r="I190" s="56">
        <v>236588</v>
      </c>
      <c r="J190" s="56">
        <v>236588</v>
      </c>
      <c r="K190" s="56">
        <v>236588</v>
      </c>
      <c r="L190" s="56">
        <v>235163.57769999999</v>
      </c>
      <c r="M190" s="56">
        <f t="shared" si="3"/>
        <v>1.1999999987892807E-3</v>
      </c>
      <c r="N190" s="56">
        <v>235163.5765</v>
      </c>
    </row>
    <row r="191" spans="1:14">
      <c r="E191" s="78" t="s">
        <v>261</v>
      </c>
      <c r="F191" s="79" t="s">
        <v>325</v>
      </c>
      <c r="G191" s="56">
        <v>0</v>
      </c>
      <c r="H191" s="56">
        <v>0</v>
      </c>
      <c r="I191" s="56">
        <v>523</v>
      </c>
      <c r="J191" s="56">
        <v>523</v>
      </c>
      <c r="K191" s="56">
        <v>523</v>
      </c>
      <c r="L191" s="56">
        <v>468.03530000000001</v>
      </c>
      <c r="M191" s="56">
        <f t="shared" si="3"/>
        <v>0</v>
      </c>
      <c r="N191" s="56">
        <v>468.03530000000001</v>
      </c>
    </row>
    <row r="192" spans="1:14">
      <c r="E192" s="78" t="s">
        <v>326</v>
      </c>
      <c r="F192" s="79" t="s">
        <v>327</v>
      </c>
      <c r="G192" s="56">
        <v>0</v>
      </c>
      <c r="H192" s="56">
        <v>0</v>
      </c>
      <c r="I192" s="56">
        <v>236065</v>
      </c>
      <c r="J192" s="56">
        <v>236065</v>
      </c>
      <c r="K192" s="56">
        <v>236065</v>
      </c>
      <c r="L192" s="56">
        <v>234695.5423</v>
      </c>
      <c r="M192" s="56">
        <f t="shared" si="3"/>
        <v>1.0999999940395355E-3</v>
      </c>
      <c r="N192" s="56">
        <v>234695.54120000001</v>
      </c>
    </row>
    <row r="193" spans="1:14">
      <c r="D193" s="85" t="s">
        <v>241</v>
      </c>
      <c r="F193" s="79" t="s">
        <v>376</v>
      </c>
      <c r="G193" s="56">
        <v>376003</v>
      </c>
      <c r="H193" s="56">
        <v>365718</v>
      </c>
      <c r="I193" s="56">
        <v>365718</v>
      </c>
      <c r="J193" s="56">
        <v>365718</v>
      </c>
      <c r="K193" s="56">
        <v>365718</v>
      </c>
      <c r="L193" s="56">
        <v>365701.66129999998</v>
      </c>
      <c r="M193" s="56">
        <f t="shared" si="3"/>
        <v>0</v>
      </c>
      <c r="N193" s="56">
        <v>365701.66129999998</v>
      </c>
    </row>
    <row r="194" spans="1:14">
      <c r="E194" s="78" t="s">
        <v>261</v>
      </c>
      <c r="F194" s="79" t="s">
        <v>325</v>
      </c>
      <c r="G194" s="56">
        <v>0</v>
      </c>
      <c r="H194" s="56">
        <v>0</v>
      </c>
      <c r="I194" s="56">
        <v>68353</v>
      </c>
      <c r="J194" s="56">
        <v>68353</v>
      </c>
      <c r="K194" s="56">
        <v>68353</v>
      </c>
      <c r="L194" s="56">
        <v>68336.661300000007</v>
      </c>
      <c r="M194" s="56">
        <f t="shared" si="3"/>
        <v>0</v>
      </c>
      <c r="N194" s="56">
        <v>68336.661300000007</v>
      </c>
    </row>
    <row r="195" spans="1:14">
      <c r="E195" s="78" t="s">
        <v>326</v>
      </c>
      <c r="F195" s="79" t="s">
        <v>327</v>
      </c>
      <c r="G195" s="56">
        <v>0</v>
      </c>
      <c r="H195" s="56">
        <v>0</v>
      </c>
      <c r="I195" s="56">
        <v>297365</v>
      </c>
      <c r="J195" s="56">
        <v>297365</v>
      </c>
      <c r="K195" s="56">
        <v>297365</v>
      </c>
      <c r="L195" s="56">
        <v>297365</v>
      </c>
      <c r="M195" s="56">
        <f t="shared" si="3"/>
        <v>0</v>
      </c>
      <c r="N195" s="56">
        <v>297365</v>
      </c>
    </row>
    <row r="196" spans="1:14">
      <c r="D196" s="85" t="s">
        <v>297</v>
      </c>
      <c r="F196" s="79" t="s">
        <v>377</v>
      </c>
      <c r="G196" s="56">
        <v>478412</v>
      </c>
      <c r="H196" s="56">
        <v>477289.7</v>
      </c>
      <c r="I196" s="56">
        <v>477289.7</v>
      </c>
      <c r="J196" s="56">
        <v>477289.7</v>
      </c>
      <c r="K196" s="56">
        <v>477289.7</v>
      </c>
      <c r="L196" s="56">
        <v>477289.7</v>
      </c>
      <c r="M196" s="56">
        <f t="shared" si="3"/>
        <v>0</v>
      </c>
      <c r="N196" s="56">
        <v>477289.7</v>
      </c>
    </row>
    <row r="197" spans="1:14">
      <c r="E197" s="78" t="s">
        <v>261</v>
      </c>
      <c r="F197" s="101" t="s">
        <v>325</v>
      </c>
      <c r="G197" s="56">
        <v>0</v>
      </c>
      <c r="H197" s="56">
        <v>0</v>
      </c>
      <c r="I197" s="56">
        <v>12087</v>
      </c>
      <c r="J197" s="56">
        <v>12087</v>
      </c>
      <c r="K197" s="56">
        <v>12087</v>
      </c>
      <c r="L197" s="56">
        <v>12087</v>
      </c>
      <c r="M197" s="56">
        <f t="shared" si="3"/>
        <v>0</v>
      </c>
      <c r="N197" s="56">
        <v>12087</v>
      </c>
    </row>
    <row r="198" spans="1:14">
      <c r="E198" s="78" t="s">
        <v>326</v>
      </c>
      <c r="F198" s="79" t="s">
        <v>327</v>
      </c>
      <c r="G198" s="56">
        <v>0</v>
      </c>
      <c r="H198" s="56">
        <v>0</v>
      </c>
      <c r="I198" s="56">
        <v>465202.7</v>
      </c>
      <c r="J198" s="56">
        <v>465202.7</v>
      </c>
      <c r="K198" s="56">
        <v>465202.7</v>
      </c>
      <c r="L198" s="56">
        <v>465202.7</v>
      </c>
      <c r="M198" s="56">
        <f t="shared" si="3"/>
        <v>0</v>
      </c>
      <c r="N198" s="56">
        <v>465202.7</v>
      </c>
    </row>
    <row r="199" spans="1:14" ht="21">
      <c r="D199" s="85" t="s">
        <v>299</v>
      </c>
      <c r="F199" s="79" t="s">
        <v>378</v>
      </c>
      <c r="G199" s="56">
        <v>7461</v>
      </c>
      <c r="H199" s="56">
        <v>5622</v>
      </c>
      <c r="I199" s="56">
        <v>5622</v>
      </c>
      <c r="J199" s="56">
        <v>5622</v>
      </c>
      <c r="K199" s="56">
        <v>5622</v>
      </c>
      <c r="L199" s="56">
        <v>5613.3980000000001</v>
      </c>
      <c r="M199" s="56">
        <f t="shared" si="3"/>
        <v>0</v>
      </c>
      <c r="N199" s="56">
        <v>5613.3980000000001</v>
      </c>
    </row>
    <row r="200" spans="1:14">
      <c r="D200" s="85" t="s">
        <v>279</v>
      </c>
      <c r="F200" s="79" t="s">
        <v>379</v>
      </c>
      <c r="G200" s="56">
        <v>137497</v>
      </c>
      <c r="H200" s="56">
        <v>144497</v>
      </c>
      <c r="I200" s="56">
        <v>144497</v>
      </c>
      <c r="J200" s="56">
        <v>144497</v>
      </c>
      <c r="K200" s="56">
        <v>144497</v>
      </c>
      <c r="L200" s="56">
        <v>144497</v>
      </c>
      <c r="M200" s="56">
        <f t="shared" si="3"/>
        <v>0</v>
      </c>
      <c r="N200" s="56">
        <v>144497</v>
      </c>
    </row>
    <row r="201" spans="1:14">
      <c r="E201" s="78" t="s">
        <v>326</v>
      </c>
      <c r="F201" s="79" t="s">
        <v>327</v>
      </c>
      <c r="G201" s="56">
        <v>0</v>
      </c>
      <c r="H201" s="56">
        <v>0</v>
      </c>
      <c r="I201" s="56">
        <v>144497</v>
      </c>
      <c r="J201" s="56">
        <v>144497</v>
      </c>
      <c r="K201" s="56">
        <v>144497</v>
      </c>
      <c r="L201" s="56">
        <v>144497</v>
      </c>
      <c r="M201" s="56">
        <f t="shared" si="3"/>
        <v>0</v>
      </c>
      <c r="N201" s="56">
        <v>144497</v>
      </c>
    </row>
    <row r="202" spans="1:14">
      <c r="D202" s="85" t="s">
        <v>381</v>
      </c>
      <c r="F202" s="79" t="s">
        <v>382</v>
      </c>
      <c r="G202" s="56">
        <v>94205</v>
      </c>
      <c r="H202" s="56">
        <v>155368</v>
      </c>
      <c r="I202" s="56">
        <v>155368</v>
      </c>
      <c r="J202" s="56">
        <v>155368</v>
      </c>
      <c r="K202" s="56">
        <v>155368</v>
      </c>
      <c r="L202" s="56">
        <v>155368</v>
      </c>
      <c r="M202" s="56">
        <f t="shared" si="3"/>
        <v>0</v>
      </c>
      <c r="N202" s="56">
        <v>155368</v>
      </c>
    </row>
    <row r="203" spans="1:14">
      <c r="E203" s="78" t="s">
        <v>326</v>
      </c>
      <c r="F203" s="79" t="s">
        <v>327</v>
      </c>
      <c r="G203" s="56">
        <v>0</v>
      </c>
      <c r="H203" s="56">
        <v>0</v>
      </c>
      <c r="I203" s="56">
        <v>155368</v>
      </c>
      <c r="J203" s="56">
        <v>155368</v>
      </c>
      <c r="K203" s="56">
        <v>155368</v>
      </c>
      <c r="L203" s="56">
        <v>155368</v>
      </c>
      <c r="M203" s="56">
        <f t="shared" si="3"/>
        <v>0</v>
      </c>
      <c r="N203" s="56">
        <v>155368</v>
      </c>
    </row>
    <row r="204" spans="1:14">
      <c r="D204" s="85" t="s">
        <v>383</v>
      </c>
      <c r="F204" s="79" t="s">
        <v>401</v>
      </c>
      <c r="G204" s="56">
        <v>8171</v>
      </c>
      <c r="H204" s="56">
        <v>4624</v>
      </c>
      <c r="I204" s="56">
        <v>4624</v>
      </c>
      <c r="J204" s="56">
        <v>4624</v>
      </c>
      <c r="K204" s="56">
        <v>4624</v>
      </c>
      <c r="L204" s="56">
        <v>4546.5474000000004</v>
      </c>
      <c r="M204" s="56">
        <f t="shared" si="3"/>
        <v>0</v>
      </c>
      <c r="N204" s="56">
        <v>4546.5474000000004</v>
      </c>
    </row>
    <row r="205" spans="1:14">
      <c r="D205" s="85" t="s">
        <v>385</v>
      </c>
      <c r="F205" s="79" t="s">
        <v>402</v>
      </c>
      <c r="G205" s="56">
        <v>5695167</v>
      </c>
      <c r="H205" s="56">
        <v>4745708.4000000004</v>
      </c>
      <c r="I205" s="56">
        <v>4745708.4000000004</v>
      </c>
      <c r="J205" s="56">
        <v>4745708.4000000004</v>
      </c>
      <c r="K205" s="56">
        <v>4745708.4000000004</v>
      </c>
      <c r="L205" s="56">
        <v>4719908.773</v>
      </c>
      <c r="M205" s="56">
        <f t="shared" si="3"/>
        <v>6196.3417999995872</v>
      </c>
      <c r="N205" s="56">
        <v>4713712.4312000005</v>
      </c>
    </row>
    <row r="206" spans="1:14">
      <c r="E206" s="78" t="s">
        <v>326</v>
      </c>
      <c r="F206" s="79" t="s">
        <v>327</v>
      </c>
      <c r="G206" s="56">
        <v>0</v>
      </c>
      <c r="H206" s="56">
        <v>0</v>
      </c>
      <c r="I206" s="56">
        <v>4745708.4000000004</v>
      </c>
      <c r="J206" s="56">
        <v>4745708.4000000004</v>
      </c>
      <c r="K206" s="56">
        <v>4745708.4000000004</v>
      </c>
      <c r="L206" s="56">
        <v>4719908.7729000002</v>
      </c>
      <c r="M206" s="56">
        <f t="shared" si="3"/>
        <v>6196.3418000005186</v>
      </c>
      <c r="N206" s="56">
        <v>4713712.4310999997</v>
      </c>
    </row>
    <row r="207" spans="1:14" ht="21">
      <c r="D207" s="85" t="s">
        <v>394</v>
      </c>
      <c r="F207" s="79" t="s">
        <v>395</v>
      </c>
      <c r="G207" s="56">
        <v>0</v>
      </c>
      <c r="H207" s="56">
        <v>0</v>
      </c>
      <c r="I207" s="56">
        <v>137737.9</v>
      </c>
      <c r="J207" s="56">
        <v>137737.9</v>
      </c>
      <c r="K207" s="56">
        <v>137737.9</v>
      </c>
      <c r="L207" s="56">
        <v>137737.83499999999</v>
      </c>
      <c r="M207" s="56">
        <f t="shared" si="3"/>
        <v>0</v>
      </c>
      <c r="N207" s="56">
        <v>137737.83499999999</v>
      </c>
    </row>
    <row r="208" spans="1:14" ht="22.5">
      <c r="A208" s="76"/>
      <c r="B208" s="76"/>
      <c r="C208" s="76" t="s">
        <v>403</v>
      </c>
      <c r="D208" s="76"/>
      <c r="E208" s="76"/>
      <c r="F208" s="90" t="s">
        <v>404</v>
      </c>
      <c r="G208" s="55">
        <v>16436484</v>
      </c>
      <c r="H208" s="55">
        <v>15832637.199999999</v>
      </c>
      <c r="I208" s="55">
        <v>15832637.199999999</v>
      </c>
      <c r="J208" s="55">
        <v>15832637.199999999</v>
      </c>
      <c r="K208" s="55">
        <v>15832637.199999999</v>
      </c>
      <c r="L208" s="55">
        <v>15805148.1623</v>
      </c>
      <c r="M208" s="55">
        <f t="shared" si="3"/>
        <v>268963.4282000009</v>
      </c>
      <c r="N208" s="55">
        <v>15536184.734099999</v>
      </c>
    </row>
    <row r="209" spans="1:14">
      <c r="D209" s="78" t="s">
        <v>253</v>
      </c>
      <c r="F209" s="79" t="s">
        <v>405</v>
      </c>
      <c r="G209" s="56">
        <v>169745</v>
      </c>
      <c r="H209" s="56">
        <v>180370.8</v>
      </c>
      <c r="I209" s="56">
        <v>180370.8</v>
      </c>
      <c r="J209" s="56">
        <v>180370.8</v>
      </c>
      <c r="K209" s="56">
        <v>180370.8</v>
      </c>
      <c r="L209" s="56">
        <v>180370.55600000001</v>
      </c>
      <c r="M209" s="56">
        <f t="shared" si="3"/>
        <v>6000</v>
      </c>
      <c r="N209" s="56">
        <v>174370.55600000001</v>
      </c>
    </row>
    <row r="210" spans="1:14">
      <c r="E210" s="78" t="s">
        <v>261</v>
      </c>
      <c r="F210" s="79" t="s">
        <v>325</v>
      </c>
      <c r="G210" s="56">
        <v>0</v>
      </c>
      <c r="H210" s="56">
        <v>0</v>
      </c>
      <c r="I210" s="56">
        <v>134195</v>
      </c>
      <c r="J210" s="56">
        <v>134195</v>
      </c>
      <c r="K210" s="56">
        <v>134195</v>
      </c>
      <c r="L210" s="56">
        <v>134195</v>
      </c>
      <c r="M210" s="56">
        <f t="shared" si="3"/>
        <v>0</v>
      </c>
      <c r="N210" s="56">
        <v>134195</v>
      </c>
    </row>
    <row r="211" spans="1:14">
      <c r="E211" s="78" t="s">
        <v>326</v>
      </c>
      <c r="F211" s="79" t="s">
        <v>327</v>
      </c>
      <c r="G211" s="56">
        <v>0</v>
      </c>
      <c r="H211" s="56">
        <v>0</v>
      </c>
      <c r="I211" s="56">
        <v>46175.8</v>
      </c>
      <c r="J211" s="56">
        <v>46175.8</v>
      </c>
      <c r="K211" s="56">
        <v>46175.8</v>
      </c>
      <c r="L211" s="56">
        <v>46175.555999999997</v>
      </c>
      <c r="M211" s="56">
        <f t="shared" si="3"/>
        <v>6000</v>
      </c>
      <c r="N211" s="56">
        <v>40175.555999999997</v>
      </c>
    </row>
    <row r="212" spans="1:14">
      <c r="D212" s="85" t="s">
        <v>255</v>
      </c>
      <c r="F212" s="79" t="s">
        <v>406</v>
      </c>
      <c r="G212" s="56">
        <v>473750</v>
      </c>
      <c r="H212" s="56">
        <v>423270</v>
      </c>
      <c r="I212" s="56">
        <v>423270</v>
      </c>
      <c r="J212" s="56">
        <v>423270</v>
      </c>
      <c r="K212" s="56">
        <v>423270</v>
      </c>
      <c r="L212" s="56">
        <v>398268.05099999998</v>
      </c>
      <c r="M212" s="56">
        <f t="shared" si="3"/>
        <v>0</v>
      </c>
      <c r="N212" s="56">
        <v>398268.05099999998</v>
      </c>
    </row>
    <row r="213" spans="1:14">
      <c r="E213" s="78" t="s">
        <v>261</v>
      </c>
      <c r="F213" s="79" t="s">
        <v>325</v>
      </c>
      <c r="G213" s="56">
        <v>0</v>
      </c>
      <c r="H213" s="56">
        <v>0</v>
      </c>
      <c r="I213" s="56">
        <v>398269</v>
      </c>
      <c r="J213" s="56">
        <v>398269</v>
      </c>
      <c r="K213" s="56">
        <v>398269</v>
      </c>
      <c r="L213" s="56">
        <v>398268.05099999998</v>
      </c>
      <c r="M213" s="56">
        <f t="shared" si="3"/>
        <v>0</v>
      </c>
      <c r="N213" s="56">
        <v>398268.05099999998</v>
      </c>
    </row>
    <row r="214" spans="1:14">
      <c r="E214" s="78" t="s">
        <v>326</v>
      </c>
      <c r="F214" s="79" t="s">
        <v>327</v>
      </c>
      <c r="G214" s="56">
        <v>0</v>
      </c>
      <c r="H214" s="56">
        <v>0</v>
      </c>
      <c r="I214" s="56">
        <v>25001</v>
      </c>
      <c r="J214" s="56">
        <v>25001</v>
      </c>
      <c r="K214" s="56">
        <v>25001</v>
      </c>
      <c r="L214" s="56">
        <v>0</v>
      </c>
      <c r="M214" s="56">
        <f t="shared" si="3"/>
        <v>0</v>
      </c>
      <c r="N214" s="56">
        <v>0</v>
      </c>
    </row>
    <row r="215" spans="1:14">
      <c r="D215" s="85" t="s">
        <v>358</v>
      </c>
      <c r="F215" s="79" t="s">
        <v>292</v>
      </c>
      <c r="G215" s="56">
        <v>15792989</v>
      </c>
      <c r="H215" s="56">
        <v>15228996.4</v>
      </c>
      <c r="I215" s="56">
        <v>15228996.4</v>
      </c>
      <c r="J215" s="56">
        <v>15228996.4</v>
      </c>
      <c r="K215" s="56">
        <v>15228996.4</v>
      </c>
      <c r="L215" s="56">
        <v>15226509.555299999</v>
      </c>
      <c r="M215" s="56">
        <f t="shared" si="3"/>
        <v>262963.42819999903</v>
      </c>
      <c r="N215" s="56">
        <v>14963546.1271</v>
      </c>
    </row>
    <row r="216" spans="1:14">
      <c r="E216" s="78" t="s">
        <v>261</v>
      </c>
      <c r="F216" s="79" t="s">
        <v>325</v>
      </c>
      <c r="G216" s="56">
        <v>0</v>
      </c>
      <c r="H216" s="56">
        <v>0</v>
      </c>
      <c r="I216" s="56">
        <v>12028783</v>
      </c>
      <c r="J216" s="56">
        <v>12028783</v>
      </c>
      <c r="K216" s="56">
        <v>12028783</v>
      </c>
      <c r="L216" s="56">
        <v>12028781.825999999</v>
      </c>
      <c r="M216" s="56">
        <f t="shared" si="3"/>
        <v>0</v>
      </c>
      <c r="N216" s="56">
        <v>12028781.825999999</v>
      </c>
    </row>
    <row r="217" spans="1:14">
      <c r="E217" s="78" t="s">
        <v>326</v>
      </c>
      <c r="F217" s="79" t="s">
        <v>327</v>
      </c>
      <c r="G217" s="56">
        <v>0</v>
      </c>
      <c r="H217" s="56">
        <v>0</v>
      </c>
      <c r="I217" s="56">
        <v>3200213.4</v>
      </c>
      <c r="J217" s="56">
        <v>3200213.4</v>
      </c>
      <c r="K217" s="56">
        <v>3200213.4</v>
      </c>
      <c r="L217" s="56">
        <v>3197727.7292999998</v>
      </c>
      <c r="M217" s="56">
        <f t="shared" si="3"/>
        <v>262963.42819999997</v>
      </c>
      <c r="N217" s="56">
        <v>2934764.3010999998</v>
      </c>
    </row>
    <row r="218" spans="1:14">
      <c r="A218" s="49"/>
      <c r="B218" s="49"/>
      <c r="C218" s="49"/>
      <c r="D218" s="49"/>
      <c r="E218" s="49"/>
    </row>
    <row r="219" spans="1:14">
      <c r="A219" s="49"/>
      <c r="B219" s="49"/>
      <c r="C219" s="49"/>
      <c r="D219" s="49"/>
      <c r="E219" s="49"/>
    </row>
    <row r="220" spans="1:14">
      <c r="A220" s="49"/>
      <c r="B220" s="49"/>
      <c r="C220" s="49"/>
      <c r="D220" s="49"/>
      <c r="E220" s="49"/>
    </row>
    <row r="221" spans="1:14">
      <c r="A221" s="49"/>
      <c r="B221" s="49"/>
      <c r="C221" s="49"/>
      <c r="D221" s="49"/>
      <c r="E221" s="49"/>
    </row>
    <row r="222" spans="1:14">
      <c r="A222" s="49"/>
      <c r="B222" s="49"/>
      <c r="C222" s="49"/>
      <c r="D222" s="49"/>
      <c r="E222" s="49"/>
    </row>
    <row r="223" spans="1:14">
      <c r="A223" s="49"/>
      <c r="B223" s="49"/>
      <c r="C223" s="49"/>
      <c r="D223" s="49"/>
      <c r="E223" s="49"/>
    </row>
    <row r="224" spans="1:14">
      <c r="A224" s="49"/>
      <c r="B224" s="49"/>
      <c r="C224" s="49"/>
      <c r="D224" s="49"/>
      <c r="E224" s="49"/>
    </row>
    <row r="225" spans="1:5">
      <c r="A225" s="49"/>
      <c r="B225" s="49"/>
      <c r="C225" s="49"/>
      <c r="D225" s="49"/>
      <c r="E225" s="49"/>
    </row>
    <row r="226" spans="1:5">
      <c r="A226" s="49"/>
      <c r="B226" s="49"/>
      <c r="C226" s="49"/>
      <c r="D226" s="49"/>
      <c r="E226" s="49"/>
    </row>
    <row r="227" spans="1:5">
      <c r="A227" s="49"/>
      <c r="B227" s="49"/>
      <c r="C227" s="49"/>
      <c r="D227" s="49"/>
      <c r="E227" s="49"/>
    </row>
    <row r="228" spans="1:5">
      <c r="A228" s="49"/>
      <c r="B228" s="49"/>
      <c r="C228" s="49"/>
      <c r="D228" s="49"/>
      <c r="E228" s="49"/>
    </row>
    <row r="229" spans="1:5">
      <c r="A229" s="49"/>
      <c r="B229" s="49"/>
      <c r="C229" s="49"/>
      <c r="D229" s="49"/>
      <c r="E229" s="49"/>
    </row>
    <row r="230" spans="1:5">
      <c r="A230" s="49"/>
      <c r="B230" s="49"/>
      <c r="C230" s="49"/>
      <c r="D230" s="49"/>
      <c r="E230" s="49"/>
    </row>
    <row r="231" spans="1:5">
      <c r="A231" s="49"/>
      <c r="B231" s="49"/>
      <c r="C231" s="49"/>
      <c r="D231" s="49"/>
      <c r="E231" s="49"/>
    </row>
    <row r="232" spans="1:5">
      <c r="A232" s="49"/>
      <c r="B232" s="49"/>
      <c r="C232" s="49"/>
      <c r="D232" s="49"/>
      <c r="E232" s="49"/>
    </row>
    <row r="233" spans="1:5">
      <c r="A233" s="49"/>
      <c r="B233" s="49"/>
      <c r="C233" s="49"/>
      <c r="D233" s="49"/>
      <c r="E233" s="49"/>
    </row>
    <row r="234" spans="1:5">
      <c r="A234" s="49"/>
      <c r="B234" s="49"/>
      <c r="C234" s="49"/>
      <c r="D234" s="49"/>
      <c r="E234" s="49"/>
    </row>
    <row r="235" spans="1:5">
      <c r="A235" s="49"/>
      <c r="B235" s="49"/>
      <c r="C235" s="49"/>
      <c r="D235" s="49"/>
      <c r="E235" s="49"/>
    </row>
    <row r="236" spans="1:5">
      <c r="A236" s="49"/>
      <c r="B236" s="49"/>
      <c r="C236" s="49"/>
      <c r="D236" s="49"/>
      <c r="E236" s="49"/>
    </row>
    <row r="237" spans="1:5">
      <c r="A237" s="49"/>
      <c r="B237" s="49"/>
      <c r="C237" s="49"/>
      <c r="D237" s="49"/>
      <c r="E237" s="49"/>
    </row>
    <row r="238" spans="1:5">
      <c r="A238" s="49"/>
      <c r="B238" s="49"/>
      <c r="C238" s="49"/>
      <c r="D238" s="49"/>
      <c r="E238" s="49"/>
    </row>
    <row r="239" spans="1:5">
      <c r="A239" s="49"/>
      <c r="B239" s="49"/>
      <c r="C239" s="49"/>
      <c r="D239" s="49"/>
      <c r="E239" s="49"/>
    </row>
    <row r="240" spans="1:5">
      <c r="A240" s="49"/>
      <c r="B240" s="49"/>
      <c r="C240" s="49"/>
      <c r="D240" s="49"/>
      <c r="E240" s="49"/>
    </row>
    <row r="241" spans="1:5">
      <c r="A241" s="49"/>
      <c r="B241" s="49"/>
      <c r="C241" s="49"/>
      <c r="D241" s="49"/>
      <c r="E241" s="49"/>
    </row>
    <row r="242" spans="1:5">
      <c r="A242" s="49"/>
      <c r="B242" s="49"/>
      <c r="C242" s="49"/>
      <c r="D242" s="49"/>
      <c r="E242" s="49"/>
    </row>
    <row r="243" spans="1:5">
      <c r="A243" s="49"/>
      <c r="B243" s="49"/>
      <c r="C243" s="49"/>
      <c r="D243" s="49"/>
      <c r="E243" s="49"/>
    </row>
    <row r="244" spans="1:5">
      <c r="A244" s="49"/>
      <c r="B244" s="49"/>
      <c r="C244" s="49"/>
      <c r="D244" s="49"/>
      <c r="E244" s="49"/>
    </row>
    <row r="245" spans="1:5">
      <c r="A245" s="49"/>
      <c r="B245" s="49"/>
      <c r="C245" s="49"/>
      <c r="D245" s="49"/>
      <c r="E245" s="49"/>
    </row>
    <row r="246" spans="1:5">
      <c r="A246" s="49"/>
      <c r="B246" s="49"/>
      <c r="C246" s="49"/>
      <c r="D246" s="49"/>
      <c r="E246" s="49"/>
    </row>
    <row r="247" spans="1:5">
      <c r="A247" s="49"/>
      <c r="B247" s="49"/>
      <c r="C247" s="49"/>
      <c r="D247" s="49"/>
      <c r="E247" s="49"/>
    </row>
    <row r="248" spans="1:5">
      <c r="A248" s="49"/>
      <c r="B248" s="49"/>
      <c r="C248" s="49"/>
      <c r="D248" s="49"/>
      <c r="E248" s="49"/>
    </row>
    <row r="249" spans="1:5">
      <c r="A249" s="49"/>
      <c r="B249" s="49"/>
      <c r="C249" s="49"/>
      <c r="D249" s="49"/>
      <c r="E249" s="49"/>
    </row>
    <row r="250" spans="1:5">
      <c r="A250" s="49"/>
      <c r="B250" s="49"/>
      <c r="C250" s="49"/>
      <c r="D250" s="49"/>
      <c r="E250" s="49"/>
    </row>
    <row r="251" spans="1:5">
      <c r="A251" s="49"/>
      <c r="B251" s="49"/>
      <c r="C251" s="49"/>
      <c r="D251" s="49"/>
      <c r="E251" s="49"/>
    </row>
    <row r="252" spans="1:5">
      <c r="A252" s="49"/>
      <c r="B252" s="49"/>
      <c r="C252" s="49"/>
      <c r="D252" s="49"/>
      <c r="E252" s="49"/>
    </row>
    <row r="253" spans="1:5">
      <c r="A253" s="49"/>
      <c r="B253" s="49"/>
      <c r="C253" s="49"/>
      <c r="D253" s="49"/>
      <c r="E253" s="49"/>
    </row>
    <row r="254" spans="1:5">
      <c r="A254" s="49"/>
      <c r="B254" s="49"/>
      <c r="C254" s="49"/>
      <c r="D254" s="49"/>
      <c r="E254" s="49"/>
    </row>
    <row r="255" spans="1:5">
      <c r="A255" s="49"/>
      <c r="B255" s="49"/>
      <c r="C255" s="49"/>
      <c r="D255" s="49"/>
      <c r="E255" s="49"/>
    </row>
    <row r="256" spans="1:5">
      <c r="A256" s="49"/>
      <c r="B256" s="49"/>
      <c r="C256" s="49"/>
      <c r="D256" s="49"/>
      <c r="E256" s="49"/>
    </row>
    <row r="257" spans="1:5">
      <c r="A257" s="49"/>
      <c r="B257" s="49"/>
      <c r="C257" s="49"/>
      <c r="D257" s="49"/>
      <c r="E257" s="49"/>
    </row>
    <row r="258" spans="1:5">
      <c r="A258" s="49"/>
      <c r="B258" s="49"/>
      <c r="C258" s="49"/>
      <c r="D258" s="49"/>
      <c r="E258" s="49"/>
    </row>
    <row r="259" spans="1:5">
      <c r="A259" s="49"/>
      <c r="B259" s="49"/>
      <c r="C259" s="49"/>
      <c r="D259" s="49"/>
      <c r="E259" s="49"/>
    </row>
    <row r="260" spans="1:5">
      <c r="A260" s="49"/>
      <c r="B260" s="49"/>
      <c r="C260" s="49"/>
      <c r="D260" s="49"/>
      <c r="E260" s="49"/>
    </row>
    <row r="261" spans="1:5">
      <c r="A261" s="49"/>
      <c r="B261" s="49"/>
      <c r="C261" s="49"/>
      <c r="D261" s="49"/>
      <c r="E261" s="49"/>
    </row>
    <row r="262" spans="1:5">
      <c r="A262" s="49"/>
      <c r="B262" s="49"/>
      <c r="C262" s="49"/>
      <c r="D262" s="49"/>
      <c r="E262" s="49"/>
    </row>
    <row r="263" spans="1:5">
      <c r="A263" s="49"/>
      <c r="B263" s="49"/>
      <c r="C263" s="49"/>
      <c r="D263" s="49"/>
      <c r="E263" s="49"/>
    </row>
    <row r="264" spans="1:5">
      <c r="A264" s="49"/>
      <c r="B264" s="49"/>
      <c r="C264" s="49"/>
      <c r="D264" s="49"/>
      <c r="E264" s="49"/>
    </row>
    <row r="265" spans="1:5">
      <c r="A265" s="49"/>
      <c r="B265" s="49"/>
      <c r="C265" s="49"/>
      <c r="D265" s="49"/>
      <c r="E265" s="49"/>
    </row>
    <row r="266" spans="1:5">
      <c r="A266" s="49"/>
      <c r="B266" s="49"/>
      <c r="C266" s="49"/>
      <c r="D266" s="49"/>
      <c r="E266" s="49"/>
    </row>
    <row r="267" spans="1:5">
      <c r="A267" s="49"/>
      <c r="B267" s="49"/>
      <c r="C267" s="49"/>
      <c r="D267" s="49"/>
      <c r="E267" s="49"/>
    </row>
    <row r="268" spans="1:5">
      <c r="A268" s="49"/>
      <c r="B268" s="49"/>
      <c r="C268" s="49"/>
      <c r="D268" s="49"/>
      <c r="E268" s="49"/>
    </row>
    <row r="269" spans="1:5">
      <c r="A269" s="49"/>
      <c r="B269" s="49"/>
      <c r="C269" s="49"/>
      <c r="D269" s="49"/>
      <c r="E269" s="49"/>
    </row>
    <row r="270" spans="1:5">
      <c r="A270" s="49"/>
      <c r="B270" s="49"/>
      <c r="C270" s="49"/>
      <c r="D270" s="49"/>
      <c r="E270" s="49"/>
    </row>
    <row r="271" spans="1:5">
      <c r="A271" s="49"/>
      <c r="B271" s="49"/>
      <c r="C271" s="49"/>
      <c r="D271" s="49"/>
      <c r="E271" s="49"/>
    </row>
    <row r="272" spans="1:5">
      <c r="A272" s="49"/>
      <c r="B272" s="49"/>
      <c r="C272" s="49"/>
      <c r="D272" s="49"/>
      <c r="E272" s="49"/>
    </row>
    <row r="273" spans="1:5">
      <c r="A273" s="49"/>
      <c r="B273" s="49"/>
      <c r="C273" s="49"/>
      <c r="D273" s="49"/>
      <c r="E273" s="49"/>
    </row>
    <row r="274" spans="1:5">
      <c r="A274" s="49"/>
      <c r="B274" s="49"/>
      <c r="C274" s="49"/>
      <c r="D274" s="49"/>
      <c r="E274" s="49"/>
    </row>
    <row r="275" spans="1:5">
      <c r="A275" s="49"/>
      <c r="B275" s="49"/>
      <c r="C275" s="49"/>
      <c r="D275" s="49"/>
      <c r="E275" s="49"/>
    </row>
    <row r="276" spans="1:5">
      <c r="A276" s="49"/>
      <c r="B276" s="49"/>
      <c r="C276" s="49"/>
      <c r="D276" s="49"/>
      <c r="E276" s="49"/>
    </row>
    <row r="277" spans="1:5">
      <c r="A277" s="49"/>
      <c r="B277" s="49"/>
      <c r="C277" s="49"/>
      <c r="D277" s="49"/>
      <c r="E277" s="49"/>
    </row>
    <row r="278" spans="1:5">
      <c r="A278" s="49"/>
      <c r="B278" s="49"/>
      <c r="C278" s="49"/>
      <c r="D278" s="49"/>
      <c r="E278" s="49"/>
    </row>
    <row r="279" spans="1:5">
      <c r="A279" s="49"/>
      <c r="B279" s="49"/>
      <c r="C279" s="49"/>
      <c r="D279" s="49"/>
      <c r="E279" s="49"/>
    </row>
    <row r="280" spans="1:5">
      <c r="A280" s="49"/>
      <c r="B280" s="49"/>
      <c r="C280" s="49"/>
      <c r="D280" s="49"/>
      <c r="E280" s="49"/>
    </row>
    <row r="281" spans="1:5">
      <c r="A281" s="49"/>
      <c r="B281" s="49"/>
      <c r="C281" s="49"/>
      <c r="D281" s="49"/>
      <c r="E281" s="49"/>
    </row>
    <row r="282" spans="1:5">
      <c r="A282" s="49"/>
      <c r="B282" s="49"/>
      <c r="C282" s="49"/>
      <c r="D282" s="49"/>
      <c r="E282" s="49"/>
    </row>
    <row r="283" spans="1:5">
      <c r="A283" s="49"/>
      <c r="B283" s="49"/>
      <c r="C283" s="49"/>
      <c r="D283" s="49"/>
      <c r="E283" s="49"/>
    </row>
    <row r="284" spans="1:5">
      <c r="A284" s="49"/>
      <c r="B284" s="49"/>
      <c r="C284" s="49"/>
      <c r="D284" s="49"/>
      <c r="E284" s="49"/>
    </row>
    <row r="285" spans="1:5">
      <c r="A285" s="49"/>
      <c r="B285" s="49"/>
      <c r="C285" s="49"/>
      <c r="D285" s="49"/>
      <c r="E285" s="49"/>
    </row>
    <row r="286" spans="1:5">
      <c r="A286" s="49"/>
      <c r="B286" s="49"/>
      <c r="C286" s="49"/>
      <c r="D286" s="49"/>
      <c r="E286" s="49"/>
    </row>
    <row r="287" spans="1:5">
      <c r="A287" s="49"/>
      <c r="B287" s="49"/>
      <c r="C287" s="49"/>
      <c r="D287" s="49"/>
      <c r="E287" s="49"/>
    </row>
    <row r="288" spans="1:5">
      <c r="A288" s="49"/>
      <c r="B288" s="49"/>
      <c r="C288" s="49"/>
      <c r="D288" s="49"/>
      <c r="E288" s="49"/>
    </row>
    <row r="289" spans="1:5">
      <c r="A289" s="49"/>
      <c r="B289" s="49"/>
      <c r="C289" s="49"/>
      <c r="D289" s="49"/>
      <c r="E289" s="49"/>
    </row>
    <row r="290" spans="1:5">
      <c r="A290" s="49"/>
      <c r="B290" s="49"/>
      <c r="C290" s="49"/>
      <c r="D290" s="49"/>
      <c r="E290" s="49"/>
    </row>
    <row r="291" spans="1:5">
      <c r="A291" s="49"/>
      <c r="B291" s="49"/>
      <c r="C291" s="49"/>
      <c r="D291" s="49"/>
      <c r="E291" s="49"/>
    </row>
    <row r="292" spans="1:5">
      <c r="A292" s="49"/>
      <c r="B292" s="49"/>
      <c r="C292" s="49"/>
      <c r="D292" s="49"/>
      <c r="E292" s="49"/>
    </row>
    <row r="293" spans="1:5">
      <c r="A293" s="49"/>
      <c r="B293" s="49"/>
      <c r="C293" s="49"/>
      <c r="D293" s="49"/>
      <c r="E293" s="49"/>
    </row>
    <row r="294" spans="1:5">
      <c r="A294" s="49"/>
      <c r="B294" s="49"/>
      <c r="C294" s="49"/>
      <c r="D294" s="49"/>
      <c r="E294" s="49"/>
    </row>
    <row r="295" spans="1:5">
      <c r="A295" s="49"/>
      <c r="B295" s="49"/>
      <c r="C295" s="49"/>
      <c r="D295" s="49"/>
      <c r="E295" s="49"/>
    </row>
    <row r="296" spans="1:5">
      <c r="A296" s="49"/>
      <c r="B296" s="49"/>
      <c r="C296" s="49"/>
      <c r="D296" s="49"/>
      <c r="E296" s="49"/>
    </row>
    <row r="297" spans="1:5">
      <c r="A297" s="49"/>
      <c r="B297" s="49"/>
      <c r="C297" s="49"/>
      <c r="D297" s="49"/>
      <c r="E297" s="49"/>
    </row>
    <row r="298" spans="1:5">
      <c r="A298" s="49"/>
      <c r="B298" s="49"/>
      <c r="C298" s="49"/>
      <c r="D298" s="49"/>
      <c r="E298" s="49"/>
    </row>
    <row r="299" spans="1:5">
      <c r="A299" s="49"/>
      <c r="B299" s="49"/>
      <c r="C299" s="49"/>
      <c r="D299" s="49"/>
      <c r="E299" s="49"/>
    </row>
    <row r="300" spans="1:5">
      <c r="A300" s="49"/>
      <c r="B300" s="49"/>
      <c r="C300" s="49"/>
      <c r="D300" s="49"/>
      <c r="E300" s="49"/>
    </row>
    <row r="301" spans="1:5">
      <c r="A301" s="49"/>
      <c r="B301" s="49"/>
      <c r="C301" s="49"/>
      <c r="D301" s="49"/>
      <c r="E301" s="49"/>
    </row>
    <row r="302" spans="1:5">
      <c r="A302" s="49"/>
      <c r="B302" s="49"/>
      <c r="C302" s="49"/>
      <c r="D302" s="49"/>
      <c r="E302" s="49"/>
    </row>
    <row r="303" spans="1:5">
      <c r="A303" s="49"/>
      <c r="B303" s="49"/>
      <c r="C303" s="49"/>
      <c r="D303" s="49"/>
      <c r="E303" s="49"/>
    </row>
    <row r="304" spans="1:5">
      <c r="A304" s="49"/>
      <c r="B304" s="49"/>
      <c r="C304" s="49"/>
      <c r="D304" s="49"/>
      <c r="E304" s="49"/>
    </row>
    <row r="305" spans="1:5">
      <c r="A305" s="49"/>
      <c r="B305" s="49"/>
      <c r="C305" s="49"/>
      <c r="D305" s="49"/>
      <c r="E305" s="49"/>
    </row>
    <row r="306" spans="1:5">
      <c r="A306" s="49"/>
      <c r="B306" s="49"/>
      <c r="C306" s="49"/>
      <c r="D306" s="49"/>
      <c r="E306" s="49"/>
    </row>
    <row r="307" spans="1:5">
      <c r="A307" s="49"/>
      <c r="B307" s="49"/>
      <c r="C307" s="49"/>
      <c r="D307" s="49"/>
      <c r="E307" s="49"/>
    </row>
    <row r="308" spans="1:5">
      <c r="A308" s="49"/>
      <c r="B308" s="49"/>
      <c r="C308" s="49"/>
      <c r="D308" s="49"/>
      <c r="E308" s="49"/>
    </row>
    <row r="309" spans="1:5">
      <c r="A309" s="49"/>
      <c r="B309" s="49"/>
      <c r="C309" s="49"/>
      <c r="D309" s="49"/>
      <c r="E309" s="49"/>
    </row>
    <row r="310" spans="1:5">
      <c r="A310" s="49"/>
      <c r="B310" s="49"/>
      <c r="C310" s="49"/>
      <c r="D310" s="49"/>
      <c r="E310" s="49"/>
    </row>
    <row r="311" spans="1:5">
      <c r="A311" s="49"/>
      <c r="B311" s="49"/>
      <c r="C311" s="49"/>
      <c r="D311" s="49"/>
      <c r="E311" s="49"/>
    </row>
    <row r="312" spans="1:5">
      <c r="A312" s="49"/>
      <c r="B312" s="49"/>
      <c r="C312" s="49"/>
      <c r="D312" s="49"/>
      <c r="E312" s="49"/>
    </row>
    <row r="313" spans="1:5">
      <c r="A313" s="49"/>
      <c r="B313" s="49"/>
      <c r="C313" s="49"/>
      <c r="D313" s="49"/>
      <c r="E313" s="49"/>
    </row>
    <row r="314" spans="1:5">
      <c r="A314" s="49"/>
      <c r="B314" s="49"/>
      <c r="C314" s="49"/>
      <c r="D314" s="49"/>
      <c r="E314" s="49"/>
    </row>
    <row r="315" spans="1:5">
      <c r="A315" s="49"/>
      <c r="B315" s="49"/>
      <c r="C315" s="49"/>
      <c r="D315" s="49"/>
      <c r="E315" s="49"/>
    </row>
    <row r="316" spans="1:5">
      <c r="A316" s="49"/>
      <c r="B316" s="49"/>
      <c r="C316" s="49"/>
      <c r="D316" s="49"/>
      <c r="E316" s="49"/>
    </row>
    <row r="317" spans="1:5">
      <c r="A317" s="49"/>
      <c r="B317" s="49"/>
      <c r="C317" s="49"/>
      <c r="D317" s="49"/>
      <c r="E317" s="49"/>
    </row>
    <row r="318" spans="1:5">
      <c r="A318" s="49"/>
      <c r="B318" s="49"/>
      <c r="C318" s="49"/>
      <c r="D318" s="49"/>
      <c r="E318" s="49"/>
    </row>
    <row r="319" spans="1:5">
      <c r="A319" s="49"/>
      <c r="B319" s="49"/>
      <c r="C319" s="49"/>
      <c r="D319" s="49"/>
      <c r="E319" s="49"/>
    </row>
    <row r="320" spans="1:5">
      <c r="A320" s="49"/>
      <c r="B320" s="49"/>
      <c r="C320" s="49"/>
      <c r="D320" s="49"/>
      <c r="E320" s="49"/>
    </row>
    <row r="321" spans="1:5">
      <c r="A321" s="49"/>
      <c r="B321" s="49"/>
      <c r="C321" s="49"/>
      <c r="D321" s="49"/>
      <c r="E321" s="49"/>
    </row>
    <row r="322" spans="1:5">
      <c r="A322" s="49"/>
      <c r="B322" s="49"/>
      <c r="C322" s="49"/>
      <c r="D322" s="49"/>
      <c r="E322" s="49"/>
    </row>
    <row r="323" spans="1:5">
      <c r="A323" s="49"/>
      <c r="B323" s="49"/>
      <c r="C323" s="49"/>
      <c r="D323" s="49"/>
      <c r="E323" s="49"/>
    </row>
    <row r="324" spans="1:5">
      <c r="A324" s="49"/>
      <c r="B324" s="49"/>
      <c r="C324" s="49"/>
      <c r="D324" s="49"/>
      <c r="E324" s="49"/>
    </row>
    <row r="325" spans="1:5">
      <c r="A325" s="49"/>
      <c r="B325" s="49"/>
      <c r="C325" s="49"/>
      <c r="D325" s="49"/>
      <c r="E325" s="49"/>
    </row>
    <row r="326" spans="1:5">
      <c r="A326" s="49"/>
      <c r="B326" s="49"/>
      <c r="C326" s="49"/>
      <c r="D326" s="49"/>
      <c r="E326" s="49"/>
    </row>
    <row r="327" spans="1:5">
      <c r="A327" s="49"/>
      <c r="B327" s="49"/>
      <c r="C327" s="49"/>
      <c r="D327" s="49"/>
      <c r="E327" s="49"/>
    </row>
    <row r="328" spans="1:5">
      <c r="A328" s="49"/>
      <c r="B328" s="49"/>
      <c r="C328" s="49"/>
      <c r="D328" s="49"/>
      <c r="E328" s="49"/>
    </row>
    <row r="329" spans="1:5">
      <c r="A329" s="49"/>
      <c r="B329" s="49"/>
      <c r="C329" s="49"/>
      <c r="D329" s="49"/>
      <c r="E329" s="49"/>
    </row>
    <row r="330" spans="1:5">
      <c r="A330" s="49"/>
      <c r="B330" s="49"/>
      <c r="C330" s="49"/>
      <c r="D330" s="49"/>
      <c r="E330" s="49"/>
    </row>
    <row r="331" spans="1:5">
      <c r="A331" s="49"/>
      <c r="B331" s="49"/>
      <c r="C331" s="49"/>
      <c r="D331" s="49"/>
      <c r="E331" s="49"/>
    </row>
    <row r="332" spans="1:5">
      <c r="A332" s="49"/>
      <c r="B332" s="49"/>
      <c r="C332" s="49"/>
      <c r="D332" s="49"/>
      <c r="E332" s="49"/>
    </row>
    <row r="333" spans="1:5">
      <c r="A333" s="49"/>
      <c r="B333" s="49"/>
      <c r="C333" s="49"/>
      <c r="D333" s="49"/>
      <c r="E333" s="49"/>
    </row>
    <row r="334" spans="1:5">
      <c r="A334" s="49"/>
      <c r="B334" s="49"/>
      <c r="C334" s="49"/>
      <c r="D334" s="49"/>
      <c r="E334" s="49"/>
    </row>
    <row r="335" spans="1:5">
      <c r="A335" s="49"/>
      <c r="B335" s="49"/>
      <c r="C335" s="49"/>
      <c r="D335" s="49"/>
      <c r="E335" s="49"/>
    </row>
    <row r="336" spans="1:5">
      <c r="A336" s="49"/>
      <c r="B336" s="49"/>
      <c r="C336" s="49"/>
      <c r="D336" s="49"/>
      <c r="E336" s="49"/>
    </row>
    <row r="337" spans="1:5">
      <c r="A337" s="49"/>
      <c r="B337" s="49"/>
      <c r="C337" s="49"/>
      <c r="D337" s="49"/>
      <c r="E337" s="49"/>
    </row>
    <row r="338" spans="1:5">
      <c r="A338" s="49"/>
      <c r="B338" s="49"/>
      <c r="C338" s="49"/>
      <c r="D338" s="49"/>
      <c r="E338" s="49"/>
    </row>
    <row r="339" spans="1:5">
      <c r="A339" s="49"/>
      <c r="B339" s="49"/>
      <c r="C339" s="49"/>
      <c r="D339" s="49"/>
      <c r="E339" s="49"/>
    </row>
    <row r="340" spans="1:5">
      <c r="A340" s="49"/>
      <c r="B340" s="49"/>
      <c r="C340" s="49"/>
      <c r="D340" s="49"/>
      <c r="E340" s="49"/>
    </row>
    <row r="341" spans="1:5">
      <c r="A341" s="49"/>
      <c r="B341" s="49"/>
      <c r="C341" s="49"/>
      <c r="D341" s="49"/>
      <c r="E341" s="49"/>
    </row>
    <row r="342" spans="1:5">
      <c r="A342" s="49"/>
      <c r="B342" s="49"/>
      <c r="C342" s="49"/>
      <c r="D342" s="49"/>
      <c r="E342" s="49"/>
    </row>
    <row r="343" spans="1:5">
      <c r="A343" s="49"/>
      <c r="B343" s="49"/>
      <c r="C343" s="49"/>
      <c r="D343" s="49"/>
      <c r="E343" s="49"/>
    </row>
    <row r="344" spans="1:5">
      <c r="A344" s="49"/>
      <c r="B344" s="49"/>
      <c r="C344" s="49"/>
      <c r="D344" s="49"/>
      <c r="E344" s="49"/>
    </row>
    <row r="345" spans="1:5">
      <c r="A345" s="49"/>
      <c r="B345" s="49"/>
      <c r="C345" s="49"/>
      <c r="D345" s="49"/>
      <c r="E345" s="49"/>
    </row>
    <row r="346" spans="1:5">
      <c r="A346" s="49"/>
      <c r="B346" s="49"/>
      <c r="C346" s="49"/>
      <c r="D346" s="49"/>
      <c r="E346" s="49"/>
    </row>
    <row r="347" spans="1:5">
      <c r="A347" s="49"/>
      <c r="B347" s="49"/>
      <c r="C347" s="49"/>
      <c r="D347" s="49"/>
      <c r="E347" s="49"/>
    </row>
    <row r="348" spans="1:5">
      <c r="A348" s="49"/>
      <c r="B348" s="49"/>
      <c r="C348" s="49"/>
      <c r="D348" s="49"/>
      <c r="E348" s="49"/>
    </row>
    <row r="349" spans="1:5">
      <c r="A349" s="49"/>
      <c r="B349" s="49"/>
      <c r="C349" s="49"/>
      <c r="D349" s="49"/>
      <c r="E349" s="49"/>
    </row>
    <row r="350" spans="1:5">
      <c r="A350" s="49"/>
      <c r="B350" s="49"/>
      <c r="C350" s="49"/>
      <c r="D350" s="49"/>
      <c r="E350" s="49"/>
    </row>
    <row r="351" spans="1:5">
      <c r="A351" s="49"/>
      <c r="B351" s="49"/>
      <c r="C351" s="49"/>
      <c r="D351" s="49"/>
      <c r="E351" s="49"/>
    </row>
    <row r="352" spans="1:5">
      <c r="A352" s="49"/>
      <c r="B352" s="49"/>
      <c r="C352" s="49"/>
      <c r="D352" s="49"/>
      <c r="E352" s="49"/>
    </row>
    <row r="353" spans="1:5">
      <c r="A353" s="49"/>
      <c r="B353" s="49"/>
      <c r="C353" s="49"/>
      <c r="D353" s="49"/>
      <c r="E353" s="49"/>
    </row>
    <row r="354" spans="1:5">
      <c r="A354" s="49"/>
      <c r="B354" s="49"/>
      <c r="C354" s="49"/>
      <c r="D354" s="49"/>
      <c r="E354" s="49"/>
    </row>
    <row r="355" spans="1:5">
      <c r="A355" s="49"/>
      <c r="B355" s="49"/>
      <c r="C355" s="49"/>
      <c r="D355" s="49"/>
      <c r="E355" s="49"/>
    </row>
    <row r="356" spans="1:5">
      <c r="A356" s="49"/>
      <c r="B356" s="49"/>
      <c r="C356" s="49"/>
      <c r="D356" s="49"/>
      <c r="E356" s="49"/>
    </row>
    <row r="357" spans="1:5">
      <c r="A357" s="49"/>
      <c r="B357" s="49"/>
      <c r="C357" s="49"/>
      <c r="D357" s="49"/>
      <c r="E357" s="49"/>
    </row>
    <row r="358" spans="1:5">
      <c r="A358" s="49"/>
      <c r="B358" s="49"/>
      <c r="C358" s="49"/>
      <c r="D358" s="49"/>
      <c r="E358" s="49"/>
    </row>
    <row r="359" spans="1:5">
      <c r="A359" s="49"/>
      <c r="B359" s="49"/>
      <c r="C359" s="49"/>
      <c r="D359" s="49"/>
      <c r="E359" s="49"/>
    </row>
    <row r="360" spans="1:5">
      <c r="A360" s="49"/>
      <c r="B360" s="49"/>
      <c r="C360" s="49"/>
      <c r="D360" s="49"/>
      <c r="E360" s="49"/>
    </row>
    <row r="361" spans="1:5">
      <c r="A361" s="49"/>
      <c r="B361" s="49"/>
      <c r="C361" s="49"/>
      <c r="D361" s="49"/>
      <c r="E361" s="49"/>
    </row>
    <row r="362" spans="1:5">
      <c r="A362" s="49"/>
      <c r="B362" s="49"/>
      <c r="C362" s="49"/>
      <c r="D362" s="49"/>
      <c r="E362" s="49"/>
    </row>
    <row r="363" spans="1:5">
      <c r="A363" s="49"/>
      <c r="B363" s="49"/>
      <c r="C363" s="49"/>
      <c r="D363" s="49"/>
      <c r="E363" s="49"/>
    </row>
    <row r="364" spans="1:5">
      <c r="A364" s="49"/>
      <c r="B364" s="49"/>
      <c r="C364" s="49"/>
      <c r="D364" s="49"/>
      <c r="E364" s="49"/>
    </row>
    <row r="365" spans="1:5">
      <c r="A365" s="49"/>
      <c r="B365" s="49"/>
      <c r="C365" s="49"/>
      <c r="D365" s="49"/>
      <c r="E365" s="49"/>
    </row>
    <row r="366" spans="1:5">
      <c r="A366" s="49"/>
      <c r="B366" s="49"/>
      <c r="C366" s="49"/>
      <c r="D366" s="49"/>
      <c r="E366" s="49"/>
    </row>
    <row r="367" spans="1:5">
      <c r="A367" s="49"/>
      <c r="B367" s="49"/>
      <c r="C367" s="49"/>
      <c r="D367" s="49"/>
      <c r="E367" s="49"/>
    </row>
    <row r="368" spans="1:5">
      <c r="A368" s="49"/>
      <c r="B368" s="49"/>
      <c r="C368" s="49"/>
      <c r="D368" s="49"/>
      <c r="E368" s="49"/>
    </row>
    <row r="369" spans="1:5">
      <c r="A369" s="49"/>
      <c r="B369" s="49"/>
      <c r="C369" s="49"/>
      <c r="D369" s="49"/>
      <c r="E369" s="49"/>
    </row>
    <row r="370" spans="1:5">
      <c r="A370" s="49"/>
      <c r="B370" s="49"/>
      <c r="C370" s="49"/>
      <c r="D370" s="49"/>
      <c r="E370" s="49"/>
    </row>
    <row r="371" spans="1:5">
      <c r="A371" s="49"/>
      <c r="B371" s="49"/>
      <c r="C371" s="49"/>
      <c r="D371" s="49"/>
      <c r="E371" s="49"/>
    </row>
    <row r="372" spans="1:5">
      <c r="A372" s="49"/>
      <c r="B372" s="49"/>
      <c r="C372" s="49"/>
      <c r="D372" s="49"/>
      <c r="E372" s="49"/>
    </row>
    <row r="373" spans="1:5">
      <c r="A373" s="49"/>
      <c r="B373" s="49"/>
      <c r="C373" s="49"/>
      <c r="D373" s="49"/>
      <c r="E373" s="49"/>
    </row>
    <row r="374" spans="1:5">
      <c r="A374" s="49"/>
      <c r="B374" s="49"/>
      <c r="C374" s="49"/>
      <c r="D374" s="49"/>
      <c r="E374" s="49"/>
    </row>
    <row r="375" spans="1:5">
      <c r="A375" s="49"/>
      <c r="B375" s="49"/>
      <c r="C375" s="49"/>
      <c r="D375" s="49"/>
      <c r="E375" s="49"/>
    </row>
    <row r="376" spans="1:5">
      <c r="A376" s="49"/>
      <c r="B376" s="49"/>
      <c r="C376" s="49"/>
      <c r="D376" s="49"/>
      <c r="E376" s="49"/>
    </row>
    <row r="377" spans="1:5">
      <c r="A377" s="49"/>
      <c r="B377" s="49"/>
      <c r="C377" s="49"/>
      <c r="D377" s="49"/>
      <c r="E377" s="49"/>
    </row>
    <row r="378" spans="1:5">
      <c r="A378" s="49"/>
      <c r="B378" s="49"/>
      <c r="C378" s="49"/>
      <c r="D378" s="49"/>
      <c r="E378" s="49"/>
    </row>
    <row r="379" spans="1:5">
      <c r="A379" s="49"/>
      <c r="B379" s="49"/>
      <c r="C379" s="49"/>
      <c r="D379" s="49"/>
      <c r="E379" s="49"/>
    </row>
    <row r="380" spans="1:5">
      <c r="A380" s="49"/>
      <c r="B380" s="49"/>
      <c r="C380" s="49"/>
      <c r="D380" s="49"/>
      <c r="E380" s="49"/>
    </row>
    <row r="381" spans="1:5">
      <c r="A381" s="49"/>
      <c r="B381" s="49"/>
      <c r="C381" s="49"/>
      <c r="D381" s="49"/>
      <c r="E381" s="49"/>
    </row>
    <row r="382" spans="1:5">
      <c r="A382" s="49"/>
      <c r="B382" s="49"/>
      <c r="C382" s="49"/>
      <c r="D382" s="49"/>
      <c r="E382" s="49"/>
    </row>
    <row r="383" spans="1:5">
      <c r="A383" s="49"/>
      <c r="B383" s="49"/>
      <c r="C383" s="49"/>
      <c r="D383" s="49"/>
      <c r="E383" s="49"/>
    </row>
    <row r="384" spans="1:5">
      <c r="A384" s="49"/>
      <c r="B384" s="49"/>
      <c r="C384" s="49"/>
      <c r="D384" s="49"/>
      <c r="E384" s="49"/>
    </row>
    <row r="385" spans="1:5">
      <c r="A385" s="49"/>
      <c r="B385" s="49"/>
      <c r="C385" s="49"/>
      <c r="D385" s="49"/>
      <c r="E385" s="49"/>
    </row>
    <row r="386" spans="1:5">
      <c r="A386" s="49"/>
      <c r="B386" s="49"/>
      <c r="C386" s="49"/>
      <c r="D386" s="49"/>
      <c r="E386" s="49"/>
    </row>
    <row r="387" spans="1:5">
      <c r="A387" s="49"/>
      <c r="B387" s="49"/>
      <c r="C387" s="49"/>
      <c r="D387" s="49"/>
      <c r="E387" s="49"/>
    </row>
    <row r="388" spans="1:5">
      <c r="A388" s="49"/>
      <c r="B388" s="49"/>
      <c r="C388" s="49"/>
      <c r="D388" s="49"/>
      <c r="E388" s="49"/>
    </row>
    <row r="389" spans="1:5">
      <c r="A389" s="49"/>
      <c r="B389" s="49"/>
      <c r="C389" s="49"/>
      <c r="D389" s="49"/>
      <c r="E389" s="49"/>
    </row>
    <row r="390" spans="1:5">
      <c r="A390" s="49"/>
      <c r="B390" s="49"/>
      <c r="C390" s="49"/>
      <c r="D390" s="49"/>
      <c r="E390" s="49"/>
    </row>
    <row r="391" spans="1:5">
      <c r="A391" s="49"/>
      <c r="B391" s="49"/>
      <c r="C391" s="49"/>
      <c r="D391" s="49"/>
      <c r="E391" s="49"/>
    </row>
    <row r="392" spans="1:5">
      <c r="A392" s="49"/>
      <c r="B392" s="49"/>
      <c r="C392" s="49"/>
      <c r="D392" s="49"/>
      <c r="E392" s="49"/>
    </row>
    <row r="393" spans="1:5">
      <c r="A393" s="49"/>
      <c r="B393" s="49"/>
      <c r="C393" s="49"/>
      <c r="D393" s="49"/>
      <c r="E393" s="49"/>
    </row>
    <row r="394" spans="1:5">
      <c r="A394" s="49"/>
      <c r="B394" s="49"/>
      <c r="C394" s="49"/>
      <c r="D394" s="49"/>
      <c r="E394" s="49"/>
    </row>
    <row r="395" spans="1:5">
      <c r="A395" s="49"/>
      <c r="B395" s="49"/>
      <c r="C395" s="49"/>
      <c r="D395" s="49"/>
      <c r="E395" s="49"/>
    </row>
    <row r="396" spans="1:5">
      <c r="A396" s="49"/>
      <c r="B396" s="49"/>
      <c r="C396" s="49"/>
      <c r="D396" s="49"/>
      <c r="E396" s="49"/>
    </row>
    <row r="397" spans="1:5">
      <c r="A397" s="49"/>
      <c r="B397" s="49"/>
      <c r="C397" s="49"/>
      <c r="D397" s="49"/>
      <c r="E397" s="49"/>
    </row>
    <row r="398" spans="1:5">
      <c r="A398" s="49"/>
      <c r="B398" s="49"/>
      <c r="C398" s="49"/>
      <c r="D398" s="49"/>
      <c r="E398" s="49"/>
    </row>
    <row r="399" spans="1:5">
      <c r="A399" s="49"/>
      <c r="B399" s="49"/>
      <c r="C399" s="49"/>
      <c r="D399" s="49"/>
      <c r="E399" s="49"/>
    </row>
    <row r="400" spans="1:5">
      <c r="A400" s="49"/>
      <c r="B400" s="49"/>
      <c r="C400" s="49"/>
      <c r="D400" s="49"/>
      <c r="E400" s="49"/>
    </row>
    <row r="401" spans="1:5">
      <c r="A401" s="49"/>
      <c r="B401" s="49"/>
      <c r="C401" s="49"/>
      <c r="D401" s="49"/>
      <c r="E401" s="49"/>
    </row>
    <row r="402" spans="1:5">
      <c r="A402" s="49"/>
      <c r="B402" s="49"/>
      <c r="C402" s="49"/>
      <c r="D402" s="49"/>
      <c r="E402" s="49"/>
    </row>
    <row r="403" spans="1:5">
      <c r="A403" s="49"/>
      <c r="B403" s="49"/>
      <c r="C403" s="49"/>
      <c r="D403" s="49"/>
      <c r="E403" s="49"/>
    </row>
    <row r="404" spans="1:5">
      <c r="A404" s="49"/>
      <c r="B404" s="49"/>
      <c r="C404" s="49"/>
      <c r="D404" s="49"/>
      <c r="E404" s="49"/>
    </row>
    <row r="405" spans="1:5">
      <c r="A405" s="49"/>
      <c r="B405" s="49"/>
      <c r="C405" s="49"/>
      <c r="D405" s="49"/>
      <c r="E405" s="49"/>
    </row>
    <row r="406" spans="1:5">
      <c r="A406" s="49"/>
      <c r="B406" s="49"/>
      <c r="C406" s="49"/>
      <c r="D406" s="49"/>
      <c r="E406" s="49"/>
    </row>
    <row r="407" spans="1:5">
      <c r="A407" s="49"/>
      <c r="B407" s="49"/>
      <c r="C407" s="49"/>
      <c r="D407" s="49"/>
      <c r="E407" s="49"/>
    </row>
    <row r="408" spans="1:5">
      <c r="A408" s="49"/>
      <c r="B408" s="49"/>
      <c r="C408" s="49"/>
      <c r="D408" s="49"/>
      <c r="E408" s="49"/>
    </row>
    <row r="409" spans="1:5">
      <c r="A409" s="49"/>
      <c r="B409" s="49"/>
      <c r="C409" s="49"/>
      <c r="D409" s="49"/>
      <c r="E409" s="49"/>
    </row>
    <row r="410" spans="1:5">
      <c r="A410" s="49"/>
      <c r="B410" s="49"/>
      <c r="C410" s="49"/>
      <c r="D410" s="49"/>
      <c r="E410" s="49"/>
    </row>
    <row r="411" spans="1:5">
      <c r="A411" s="49"/>
      <c r="B411" s="49"/>
      <c r="C411" s="49"/>
      <c r="D411" s="49"/>
      <c r="E411" s="49"/>
    </row>
    <row r="412" spans="1:5">
      <c r="A412" s="49"/>
      <c r="B412" s="49"/>
      <c r="C412" s="49"/>
      <c r="D412" s="49"/>
      <c r="E412" s="49"/>
    </row>
    <row r="413" spans="1:5">
      <c r="A413" s="49"/>
      <c r="B413" s="49"/>
      <c r="C413" s="49"/>
      <c r="D413" s="49"/>
      <c r="E413" s="49"/>
    </row>
    <row r="414" spans="1:5">
      <c r="A414" s="49"/>
      <c r="B414" s="49"/>
      <c r="C414" s="49"/>
      <c r="D414" s="49"/>
      <c r="E414" s="49"/>
    </row>
    <row r="415" spans="1:5">
      <c r="A415" s="49"/>
      <c r="B415" s="49"/>
      <c r="C415" s="49"/>
      <c r="D415" s="49"/>
      <c r="E415" s="49"/>
    </row>
    <row r="416" spans="1:5">
      <c r="A416" s="49"/>
      <c r="B416" s="49"/>
      <c r="C416" s="49"/>
      <c r="D416" s="49"/>
      <c r="E416" s="49"/>
    </row>
    <row r="417" spans="1:5">
      <c r="A417" s="49"/>
      <c r="B417" s="49"/>
      <c r="C417" s="49"/>
      <c r="D417" s="49"/>
      <c r="E417" s="49"/>
    </row>
    <row r="418" spans="1:5">
      <c r="A418" s="49"/>
      <c r="B418" s="49"/>
      <c r="C418" s="49"/>
      <c r="D418" s="49"/>
      <c r="E418" s="49"/>
    </row>
    <row r="419" spans="1:5">
      <c r="A419" s="49"/>
      <c r="B419" s="49"/>
      <c r="C419" s="49"/>
      <c r="D419" s="49"/>
      <c r="E419" s="49"/>
    </row>
    <row r="420" spans="1:5">
      <c r="A420" s="49"/>
      <c r="B420" s="49"/>
      <c r="C420" s="49"/>
      <c r="D420" s="49"/>
      <c r="E420" s="49"/>
    </row>
    <row r="421" spans="1:5">
      <c r="A421" s="49"/>
      <c r="B421" s="49"/>
      <c r="C421" s="49"/>
      <c r="D421" s="49"/>
      <c r="E421" s="49"/>
    </row>
    <row r="422" spans="1:5">
      <c r="A422" s="49"/>
      <c r="B422" s="49"/>
      <c r="C422" s="49"/>
      <c r="D422" s="49"/>
      <c r="E422" s="49"/>
    </row>
    <row r="423" spans="1:5">
      <c r="A423" s="49"/>
      <c r="B423" s="49"/>
      <c r="C423" s="49"/>
      <c r="D423" s="49"/>
      <c r="E423" s="49"/>
    </row>
    <row r="424" spans="1:5">
      <c r="A424" s="49"/>
      <c r="B424" s="49"/>
      <c r="C424" s="49"/>
      <c r="D424" s="49"/>
      <c r="E424" s="49"/>
    </row>
    <row r="425" spans="1:5">
      <c r="A425" s="49"/>
      <c r="B425" s="49"/>
      <c r="C425" s="49"/>
      <c r="D425" s="49"/>
      <c r="E425" s="49"/>
    </row>
    <row r="426" spans="1:5">
      <c r="A426" s="49"/>
      <c r="B426" s="49"/>
      <c r="C426" s="49"/>
      <c r="D426" s="49"/>
      <c r="E426" s="49"/>
    </row>
    <row r="427" spans="1:5">
      <c r="A427" s="49"/>
      <c r="B427" s="49"/>
      <c r="C427" s="49"/>
      <c r="D427" s="49"/>
      <c r="E427" s="49"/>
    </row>
    <row r="428" spans="1:5">
      <c r="A428" s="49"/>
      <c r="B428" s="49"/>
      <c r="C428" s="49"/>
      <c r="D428" s="49"/>
      <c r="E428" s="49"/>
    </row>
    <row r="429" spans="1:5">
      <c r="A429" s="49"/>
      <c r="B429" s="49"/>
      <c r="C429" s="49"/>
      <c r="D429" s="49"/>
      <c r="E429" s="49"/>
    </row>
    <row r="430" spans="1:5">
      <c r="A430" s="49"/>
      <c r="B430" s="49"/>
      <c r="C430" s="49"/>
      <c r="D430" s="49"/>
      <c r="E430" s="49"/>
    </row>
    <row r="431" spans="1:5">
      <c r="A431" s="49"/>
      <c r="B431" s="49"/>
      <c r="C431" s="49"/>
      <c r="D431" s="49"/>
      <c r="E431" s="49"/>
    </row>
    <row r="432" spans="1:5">
      <c r="A432" s="49"/>
      <c r="B432" s="49"/>
      <c r="C432" s="49"/>
      <c r="D432" s="49"/>
      <c r="E432" s="49"/>
    </row>
    <row r="433" spans="1:5">
      <c r="A433" s="49"/>
      <c r="B433" s="49"/>
      <c r="C433" s="49"/>
      <c r="D433" s="49"/>
      <c r="E433" s="49"/>
    </row>
    <row r="434" spans="1:5">
      <c r="A434" s="49"/>
      <c r="B434" s="49"/>
      <c r="C434" s="49"/>
      <c r="D434" s="49"/>
      <c r="E434" s="49"/>
    </row>
    <row r="435" spans="1:5">
      <c r="A435" s="49"/>
      <c r="B435" s="49"/>
      <c r="C435" s="49"/>
      <c r="D435" s="49"/>
      <c r="E435" s="49"/>
    </row>
    <row r="436" spans="1:5">
      <c r="A436" s="49"/>
      <c r="B436" s="49"/>
      <c r="C436" s="49"/>
      <c r="D436" s="49"/>
      <c r="E436" s="49"/>
    </row>
    <row r="437" spans="1:5">
      <c r="A437" s="49"/>
      <c r="B437" s="49"/>
      <c r="C437" s="49"/>
      <c r="D437" s="49"/>
      <c r="E437" s="49"/>
    </row>
    <row r="438" spans="1:5">
      <c r="A438" s="49"/>
      <c r="B438" s="49"/>
      <c r="C438" s="49"/>
      <c r="D438" s="49"/>
      <c r="E438" s="49"/>
    </row>
    <row r="439" spans="1:5">
      <c r="A439" s="49"/>
      <c r="B439" s="49"/>
      <c r="C439" s="49"/>
      <c r="D439" s="49"/>
      <c r="E439" s="49"/>
    </row>
    <row r="440" spans="1:5">
      <c r="A440" s="49"/>
      <c r="B440" s="49"/>
      <c r="C440" s="49"/>
      <c r="D440" s="49"/>
      <c r="E440" s="49"/>
    </row>
    <row r="441" spans="1:5">
      <c r="A441" s="49"/>
      <c r="B441" s="49"/>
      <c r="C441" s="49"/>
      <c r="D441" s="49"/>
      <c r="E441" s="49"/>
    </row>
    <row r="442" spans="1:5">
      <c r="A442" s="49"/>
      <c r="B442" s="49"/>
      <c r="C442" s="49"/>
      <c r="D442" s="49"/>
      <c r="E442" s="49"/>
    </row>
    <row r="443" spans="1:5">
      <c r="A443" s="49"/>
      <c r="B443" s="49"/>
      <c r="C443" s="49"/>
      <c r="D443" s="49"/>
      <c r="E443" s="49"/>
    </row>
    <row r="444" spans="1:5">
      <c r="A444" s="49"/>
      <c r="B444" s="49"/>
      <c r="C444" s="49"/>
      <c r="D444" s="49"/>
      <c r="E444" s="49"/>
    </row>
    <row r="445" spans="1:5">
      <c r="A445" s="49"/>
      <c r="B445" s="49"/>
      <c r="C445" s="49"/>
      <c r="D445" s="49"/>
      <c r="E445" s="49"/>
    </row>
    <row r="446" spans="1:5">
      <c r="A446" s="49"/>
      <c r="B446" s="49"/>
      <c r="C446" s="49"/>
      <c r="D446" s="49"/>
      <c r="E446" s="49"/>
    </row>
    <row r="447" spans="1:5">
      <c r="A447" s="49"/>
      <c r="B447" s="49"/>
      <c r="C447" s="49"/>
      <c r="D447" s="49"/>
      <c r="E447" s="49"/>
    </row>
    <row r="448" spans="1:5">
      <c r="A448" s="49"/>
      <c r="B448" s="49"/>
      <c r="C448" s="49"/>
      <c r="D448" s="49"/>
      <c r="E448" s="49"/>
    </row>
    <row r="449" spans="1:5">
      <c r="A449" s="49"/>
      <c r="B449" s="49"/>
      <c r="C449" s="49"/>
      <c r="D449" s="49"/>
      <c r="E449" s="49"/>
    </row>
    <row r="450" spans="1:5">
      <c r="A450" s="49"/>
      <c r="B450" s="49"/>
      <c r="C450" s="49"/>
      <c r="D450" s="49"/>
      <c r="E450" s="49"/>
    </row>
    <row r="451" spans="1:5">
      <c r="A451" s="49"/>
      <c r="B451" s="49"/>
      <c r="C451" s="49"/>
      <c r="D451" s="49"/>
      <c r="E451" s="49"/>
    </row>
    <row r="452" spans="1:5">
      <c r="A452" s="49"/>
      <c r="B452" s="49"/>
      <c r="C452" s="49"/>
      <c r="D452" s="49"/>
      <c r="E452" s="49"/>
    </row>
    <row r="453" spans="1:5">
      <c r="A453" s="49"/>
      <c r="B453" s="49"/>
      <c r="C453" s="49"/>
      <c r="D453" s="49"/>
      <c r="E453" s="49"/>
    </row>
    <row r="454" spans="1:5">
      <c r="A454" s="49"/>
      <c r="B454" s="49"/>
      <c r="C454" s="49"/>
      <c r="D454" s="49"/>
      <c r="E454" s="49"/>
    </row>
    <row r="455" spans="1:5">
      <c r="A455" s="49"/>
      <c r="B455" s="49"/>
      <c r="C455" s="49"/>
      <c r="D455" s="49"/>
      <c r="E455" s="49"/>
    </row>
    <row r="456" spans="1:5">
      <c r="A456" s="49"/>
      <c r="B456" s="49"/>
      <c r="C456" s="49"/>
      <c r="D456" s="49"/>
      <c r="E456" s="49"/>
    </row>
    <row r="457" spans="1:5">
      <c r="A457" s="49"/>
      <c r="B457" s="49"/>
      <c r="C457" s="49"/>
      <c r="D457" s="49"/>
      <c r="E457" s="49"/>
    </row>
    <row r="458" spans="1:5">
      <c r="A458" s="49"/>
      <c r="B458" s="49"/>
      <c r="C458" s="49"/>
      <c r="D458" s="49"/>
      <c r="E458" s="49"/>
    </row>
    <row r="459" spans="1:5">
      <c r="A459" s="49"/>
      <c r="B459" s="49"/>
      <c r="C459" s="49"/>
      <c r="D459" s="49"/>
      <c r="E459" s="49"/>
    </row>
    <row r="460" spans="1:5">
      <c r="A460" s="49"/>
      <c r="B460" s="49"/>
      <c r="C460" s="49"/>
      <c r="D460" s="49"/>
      <c r="E460" s="49"/>
    </row>
    <row r="461" spans="1:5">
      <c r="A461" s="49"/>
      <c r="B461" s="49"/>
      <c r="C461" s="49"/>
      <c r="D461" s="49"/>
      <c r="E461" s="49"/>
    </row>
    <row r="462" spans="1:5">
      <c r="A462" s="49"/>
      <c r="B462" s="49"/>
      <c r="C462" s="49"/>
      <c r="D462" s="49"/>
      <c r="E462" s="49"/>
    </row>
    <row r="463" spans="1:5">
      <c r="A463" s="49"/>
      <c r="B463" s="49"/>
      <c r="C463" s="49"/>
      <c r="D463" s="49"/>
      <c r="E463" s="49"/>
    </row>
    <row r="464" spans="1:5">
      <c r="A464" s="49"/>
      <c r="B464" s="49"/>
      <c r="C464" s="49"/>
      <c r="D464" s="49"/>
      <c r="E464" s="49"/>
    </row>
    <row r="465" spans="1:5">
      <c r="A465" s="49"/>
      <c r="B465" s="49"/>
      <c r="C465" s="49"/>
      <c r="D465" s="49"/>
      <c r="E465" s="49"/>
    </row>
    <row r="466" spans="1:5">
      <c r="A466" s="49"/>
      <c r="B466" s="49"/>
      <c r="C466" s="49"/>
      <c r="D466" s="49"/>
      <c r="E466" s="49"/>
    </row>
    <row r="467" spans="1:5">
      <c r="A467" s="49"/>
      <c r="B467" s="49"/>
      <c r="C467" s="49"/>
      <c r="D467" s="49"/>
      <c r="E467" s="49"/>
    </row>
    <row r="468" spans="1:5">
      <c r="A468" s="49"/>
      <c r="B468" s="49"/>
      <c r="C468" s="49"/>
      <c r="D468" s="49"/>
      <c r="E468" s="49"/>
    </row>
    <row r="469" spans="1:5">
      <c r="A469" s="49"/>
      <c r="B469" s="49"/>
      <c r="C469" s="49"/>
      <c r="D469" s="49"/>
      <c r="E469" s="49"/>
    </row>
    <row r="470" spans="1:5">
      <c r="A470" s="49"/>
      <c r="B470" s="49"/>
      <c r="C470" s="49"/>
      <c r="D470" s="49"/>
      <c r="E470" s="49"/>
    </row>
    <row r="471" spans="1:5">
      <c r="A471" s="49"/>
      <c r="B471" s="49"/>
      <c r="C471" s="49"/>
      <c r="D471" s="49"/>
      <c r="E471" s="49"/>
    </row>
    <row r="472" spans="1:5">
      <c r="A472" s="49"/>
      <c r="B472" s="49"/>
      <c r="C472" s="49"/>
      <c r="D472" s="49"/>
      <c r="E472" s="49"/>
    </row>
    <row r="473" spans="1:5">
      <c r="A473" s="49"/>
      <c r="B473" s="49"/>
      <c r="C473" s="49"/>
      <c r="D473" s="49"/>
      <c r="E473" s="49"/>
    </row>
    <row r="474" spans="1:5">
      <c r="A474" s="49"/>
      <c r="B474" s="49"/>
      <c r="C474" s="49"/>
      <c r="D474" s="49"/>
      <c r="E474" s="49"/>
    </row>
    <row r="475" spans="1:5">
      <c r="A475" s="49"/>
      <c r="B475" s="49"/>
      <c r="C475" s="49"/>
      <c r="D475" s="49"/>
      <c r="E475" s="49"/>
    </row>
    <row r="476" spans="1:5">
      <c r="A476" s="49"/>
      <c r="B476" s="49"/>
      <c r="C476" s="49"/>
      <c r="D476" s="49"/>
      <c r="E476" s="49"/>
    </row>
    <row r="477" spans="1:5">
      <c r="A477" s="49"/>
      <c r="B477" s="49"/>
      <c r="C477" s="49"/>
      <c r="D477" s="49"/>
      <c r="E477" s="49"/>
    </row>
    <row r="478" spans="1:5">
      <c r="A478" s="49"/>
      <c r="B478" s="49"/>
      <c r="C478" s="49"/>
      <c r="D478" s="49"/>
      <c r="E478" s="49"/>
    </row>
    <row r="479" spans="1:5">
      <c r="A479" s="49"/>
      <c r="B479" s="49"/>
      <c r="C479" s="49"/>
      <c r="D479" s="49"/>
      <c r="E479" s="49"/>
    </row>
    <row r="480" spans="1:5">
      <c r="A480" s="49"/>
      <c r="B480" s="49"/>
      <c r="C480" s="49"/>
      <c r="D480" s="49"/>
      <c r="E480" s="49"/>
    </row>
    <row r="481" spans="1:5">
      <c r="A481" s="49"/>
      <c r="B481" s="49"/>
      <c r="C481" s="49"/>
      <c r="D481" s="49"/>
      <c r="E481" s="49"/>
    </row>
    <row r="482" spans="1:5">
      <c r="A482" s="49"/>
      <c r="B482" s="49"/>
      <c r="C482" s="49"/>
      <c r="D482" s="49"/>
      <c r="E482" s="49"/>
    </row>
    <row r="483" spans="1:5">
      <c r="A483" s="49"/>
      <c r="B483" s="49"/>
      <c r="C483" s="49"/>
      <c r="D483" s="49"/>
      <c r="E483" s="49"/>
    </row>
    <row r="484" spans="1:5">
      <c r="A484" s="49"/>
      <c r="B484" s="49"/>
      <c r="C484" s="49"/>
      <c r="D484" s="49"/>
      <c r="E484" s="49"/>
    </row>
    <row r="485" spans="1:5">
      <c r="A485" s="49"/>
      <c r="B485" s="49"/>
      <c r="C485" s="49"/>
      <c r="D485" s="49"/>
      <c r="E485" s="49"/>
    </row>
    <row r="486" spans="1:5">
      <c r="A486" s="49"/>
      <c r="B486" s="49"/>
      <c r="C486" s="49"/>
      <c r="D486" s="49"/>
      <c r="E486" s="49"/>
    </row>
    <row r="487" spans="1:5">
      <c r="A487" s="49"/>
      <c r="B487" s="49"/>
      <c r="C487" s="49"/>
      <c r="D487" s="49"/>
      <c r="E487" s="49"/>
    </row>
    <row r="488" spans="1:5">
      <c r="A488" s="49"/>
      <c r="B488" s="49"/>
      <c r="C488" s="49"/>
      <c r="D488" s="49"/>
      <c r="E488" s="49"/>
    </row>
    <row r="489" spans="1:5">
      <c r="A489" s="49"/>
      <c r="B489" s="49"/>
      <c r="C489" s="49"/>
      <c r="D489" s="49"/>
      <c r="E489" s="49"/>
    </row>
    <row r="490" spans="1:5">
      <c r="A490" s="49"/>
      <c r="B490" s="49"/>
      <c r="C490" s="49"/>
      <c r="D490" s="49"/>
      <c r="E490" s="49"/>
    </row>
    <row r="491" spans="1:5">
      <c r="A491" s="49"/>
      <c r="B491" s="49"/>
      <c r="C491" s="49"/>
      <c r="D491" s="49"/>
      <c r="E491" s="49"/>
    </row>
    <row r="492" spans="1:5">
      <c r="A492" s="49"/>
      <c r="B492" s="49"/>
      <c r="C492" s="49"/>
      <c r="D492" s="49"/>
      <c r="E492" s="49"/>
    </row>
    <row r="493" spans="1:5">
      <c r="A493" s="49"/>
      <c r="B493" s="49"/>
      <c r="C493" s="49"/>
      <c r="D493" s="49"/>
      <c r="E493" s="49"/>
    </row>
    <row r="494" spans="1:5">
      <c r="A494" s="49"/>
      <c r="B494" s="49"/>
      <c r="C494" s="49"/>
      <c r="D494" s="49"/>
      <c r="E494" s="49"/>
    </row>
    <row r="495" spans="1:5">
      <c r="A495" s="49"/>
      <c r="B495" s="49"/>
      <c r="C495" s="49"/>
      <c r="D495" s="49"/>
      <c r="E495" s="49"/>
    </row>
    <row r="496" spans="1:5">
      <c r="A496" s="49"/>
      <c r="B496" s="49"/>
      <c r="C496" s="49"/>
      <c r="D496" s="49"/>
      <c r="E496" s="49"/>
    </row>
    <row r="497" spans="1:5">
      <c r="A497" s="49"/>
      <c r="B497" s="49"/>
      <c r="C497" s="49"/>
      <c r="D497" s="49"/>
      <c r="E497" s="49"/>
    </row>
    <row r="498" spans="1:5">
      <c r="A498" s="49"/>
      <c r="B498" s="49"/>
      <c r="C498" s="49"/>
      <c r="D498" s="49"/>
      <c r="E498" s="49"/>
    </row>
    <row r="499" spans="1:5">
      <c r="A499" s="49"/>
      <c r="B499" s="49"/>
      <c r="C499" s="49"/>
      <c r="D499" s="49"/>
      <c r="E499" s="49"/>
    </row>
    <row r="500" spans="1:5">
      <c r="A500" s="49"/>
      <c r="B500" s="49"/>
      <c r="C500" s="49"/>
      <c r="D500" s="49"/>
      <c r="E500" s="49"/>
    </row>
    <row r="501" spans="1:5">
      <c r="A501" s="49"/>
      <c r="B501" s="49"/>
      <c r="C501" s="49"/>
      <c r="D501" s="49"/>
      <c r="E501" s="49"/>
    </row>
    <row r="502" spans="1:5">
      <c r="A502" s="49"/>
      <c r="B502" s="49"/>
      <c r="C502" s="49"/>
      <c r="D502" s="49"/>
      <c r="E502" s="49"/>
    </row>
    <row r="503" spans="1:5">
      <c r="A503" s="49"/>
      <c r="B503" s="49"/>
      <c r="C503" s="49"/>
      <c r="D503" s="49"/>
      <c r="E503" s="49"/>
    </row>
    <row r="504" spans="1:5">
      <c r="A504" s="49"/>
      <c r="B504" s="49"/>
      <c r="C504" s="49"/>
      <c r="D504" s="49"/>
      <c r="E504" s="49"/>
    </row>
    <row r="505" spans="1:5">
      <c r="A505" s="49"/>
      <c r="B505" s="49"/>
      <c r="C505" s="49"/>
      <c r="D505" s="49"/>
      <c r="E505" s="49"/>
    </row>
    <row r="506" spans="1:5">
      <c r="A506" s="49"/>
      <c r="B506" s="49"/>
      <c r="C506" s="49"/>
      <c r="D506" s="49"/>
      <c r="E506" s="49"/>
    </row>
    <row r="507" spans="1:5">
      <c r="A507" s="49"/>
      <c r="B507" s="49"/>
      <c r="C507" s="49"/>
      <c r="D507" s="49"/>
      <c r="E507" s="49"/>
    </row>
    <row r="508" spans="1:5">
      <c r="A508" s="49"/>
      <c r="B508" s="49"/>
      <c r="C508" s="49"/>
      <c r="D508" s="49"/>
      <c r="E508" s="49"/>
    </row>
    <row r="509" spans="1:5">
      <c r="A509" s="49"/>
      <c r="B509" s="49"/>
      <c r="C509" s="49"/>
      <c r="D509" s="49"/>
      <c r="E509" s="49"/>
    </row>
    <row r="510" spans="1:5">
      <c r="A510" s="49"/>
      <c r="B510" s="49"/>
      <c r="C510" s="49"/>
      <c r="D510" s="49"/>
      <c r="E510" s="49"/>
    </row>
    <row r="511" spans="1:5">
      <c r="A511" s="49"/>
      <c r="B511" s="49"/>
      <c r="C511" s="49"/>
      <c r="D511" s="49"/>
      <c r="E511" s="49"/>
    </row>
    <row r="512" spans="1:5">
      <c r="A512" s="49"/>
      <c r="B512" s="49"/>
      <c r="C512" s="49"/>
      <c r="D512" s="49"/>
      <c r="E512" s="49"/>
    </row>
    <row r="513" spans="1:5">
      <c r="A513" s="49"/>
      <c r="B513" s="49"/>
      <c r="C513" s="49"/>
      <c r="D513" s="49"/>
      <c r="E513" s="49"/>
    </row>
    <row r="514" spans="1:5">
      <c r="A514" s="49"/>
      <c r="B514" s="49"/>
      <c r="C514" s="49"/>
      <c r="D514" s="49"/>
      <c r="E514" s="49"/>
    </row>
    <row r="515" spans="1:5">
      <c r="A515" s="49"/>
      <c r="B515" s="49"/>
      <c r="C515" s="49"/>
      <c r="D515" s="49"/>
      <c r="E515" s="49"/>
    </row>
    <row r="516" spans="1:5">
      <c r="A516" s="49"/>
      <c r="B516" s="49"/>
      <c r="C516" s="49"/>
      <c r="D516" s="49"/>
      <c r="E516" s="49"/>
    </row>
    <row r="517" spans="1:5">
      <c r="A517" s="49"/>
      <c r="B517" s="49"/>
      <c r="C517" s="49"/>
      <c r="D517" s="49"/>
      <c r="E517" s="49"/>
    </row>
    <row r="518" spans="1:5">
      <c r="A518" s="49"/>
      <c r="B518" s="49"/>
      <c r="C518" s="49"/>
      <c r="D518" s="49"/>
      <c r="E518" s="49"/>
    </row>
    <row r="519" spans="1:5">
      <c r="A519" s="49"/>
      <c r="B519" s="49"/>
      <c r="C519" s="49"/>
      <c r="D519" s="49"/>
      <c r="E519" s="49"/>
    </row>
    <row r="520" spans="1:5">
      <c r="A520" s="49"/>
      <c r="B520" s="49"/>
      <c r="C520" s="49"/>
      <c r="D520" s="49"/>
      <c r="E520" s="49"/>
    </row>
    <row r="521" spans="1:5">
      <c r="A521" s="49"/>
      <c r="B521" s="49"/>
      <c r="C521" s="49"/>
      <c r="D521" s="49"/>
      <c r="E521" s="49"/>
    </row>
    <row r="522" spans="1:5">
      <c r="A522" s="49"/>
      <c r="B522" s="49"/>
      <c r="C522" s="49"/>
      <c r="D522" s="49"/>
      <c r="E522" s="49"/>
    </row>
    <row r="523" spans="1:5">
      <c r="A523" s="49"/>
      <c r="B523" s="49"/>
      <c r="C523" s="49"/>
      <c r="D523" s="49"/>
      <c r="E523" s="49"/>
    </row>
    <row r="524" spans="1:5">
      <c r="A524" s="49"/>
      <c r="B524" s="49"/>
      <c r="C524" s="49"/>
      <c r="D524" s="49"/>
      <c r="E524" s="49"/>
    </row>
    <row r="525" spans="1:5">
      <c r="A525" s="49"/>
      <c r="B525" s="49"/>
      <c r="C525" s="49"/>
      <c r="D525" s="49"/>
      <c r="E525" s="49"/>
    </row>
    <row r="526" spans="1:5">
      <c r="A526" s="49"/>
      <c r="B526" s="49"/>
      <c r="C526" s="49"/>
      <c r="D526" s="49"/>
      <c r="E526" s="49"/>
    </row>
    <row r="527" spans="1:5">
      <c r="A527" s="49"/>
      <c r="B527" s="49"/>
      <c r="C527" s="49"/>
      <c r="D527" s="49"/>
      <c r="E527" s="49"/>
    </row>
    <row r="528" spans="1:5">
      <c r="A528" s="49"/>
      <c r="B528" s="49"/>
      <c r="C528" s="49"/>
      <c r="D528" s="49"/>
      <c r="E528" s="49"/>
    </row>
    <row r="529" spans="1:5">
      <c r="A529" s="49"/>
      <c r="B529" s="49"/>
      <c r="C529" s="49"/>
      <c r="D529" s="49"/>
      <c r="E529" s="49"/>
    </row>
    <row r="530" spans="1:5">
      <c r="A530" s="49"/>
      <c r="B530" s="49"/>
      <c r="C530" s="49"/>
      <c r="D530" s="49"/>
      <c r="E530" s="49"/>
    </row>
    <row r="531" spans="1:5">
      <c r="A531" s="49"/>
      <c r="B531" s="49"/>
      <c r="C531" s="49"/>
      <c r="D531" s="49"/>
      <c r="E531" s="49"/>
    </row>
    <row r="532" spans="1:5">
      <c r="A532" s="49"/>
      <c r="B532" s="49"/>
      <c r="C532" s="49"/>
      <c r="D532" s="49"/>
      <c r="E532" s="49"/>
    </row>
    <row r="533" spans="1:5">
      <c r="A533" s="49"/>
      <c r="B533" s="49"/>
      <c r="C533" s="49"/>
      <c r="D533" s="49"/>
      <c r="E533" s="49"/>
    </row>
    <row r="534" spans="1:5">
      <c r="A534" s="49"/>
      <c r="B534" s="49"/>
      <c r="C534" s="49"/>
      <c r="D534" s="49"/>
      <c r="E534" s="49"/>
    </row>
    <row r="535" spans="1:5">
      <c r="A535" s="49"/>
      <c r="B535" s="49"/>
      <c r="C535" s="49"/>
      <c r="D535" s="49"/>
      <c r="E535" s="49"/>
    </row>
    <row r="536" spans="1:5">
      <c r="A536" s="49"/>
      <c r="B536" s="49"/>
      <c r="C536" s="49"/>
      <c r="D536" s="49"/>
      <c r="E536" s="49"/>
    </row>
    <row r="537" spans="1:5">
      <c r="A537" s="49"/>
      <c r="B537" s="49"/>
      <c r="C537" s="49"/>
      <c r="D537" s="49"/>
      <c r="E537" s="49"/>
    </row>
    <row r="538" spans="1:5">
      <c r="A538" s="49"/>
      <c r="B538" s="49"/>
      <c r="C538" s="49"/>
      <c r="D538" s="49"/>
      <c r="E538" s="49"/>
    </row>
    <row r="539" spans="1:5">
      <c r="A539" s="49"/>
      <c r="B539" s="49"/>
      <c r="C539" s="49"/>
      <c r="D539" s="49"/>
      <c r="E539" s="49"/>
    </row>
    <row r="540" spans="1:5">
      <c r="A540" s="49"/>
      <c r="B540" s="49"/>
      <c r="C540" s="49"/>
      <c r="D540" s="49"/>
      <c r="E540" s="49"/>
    </row>
    <row r="541" spans="1:5">
      <c r="A541" s="49"/>
      <c r="B541" s="49"/>
      <c r="C541" s="49"/>
      <c r="D541" s="49"/>
      <c r="E541" s="49"/>
    </row>
    <row r="542" spans="1:5">
      <c r="A542" s="49"/>
      <c r="B542" s="49"/>
      <c r="C542" s="49"/>
      <c r="D542" s="49"/>
      <c r="E542" s="49"/>
    </row>
    <row r="543" spans="1:5">
      <c r="A543" s="49"/>
      <c r="B543" s="49"/>
      <c r="C543" s="49"/>
      <c r="D543" s="49"/>
      <c r="E543" s="49"/>
    </row>
    <row r="544" spans="1:5">
      <c r="A544" s="49"/>
      <c r="B544" s="49"/>
      <c r="C544" s="49"/>
      <c r="D544" s="49"/>
      <c r="E544" s="49"/>
    </row>
    <row r="545" spans="1:5">
      <c r="A545" s="49"/>
      <c r="B545" s="49"/>
      <c r="C545" s="49"/>
      <c r="D545" s="49"/>
      <c r="E545" s="49"/>
    </row>
    <row r="546" spans="1:5">
      <c r="A546" s="49"/>
      <c r="B546" s="49"/>
      <c r="C546" s="49"/>
      <c r="D546" s="49"/>
      <c r="E546" s="49"/>
    </row>
    <row r="547" spans="1:5">
      <c r="A547" s="49"/>
      <c r="B547" s="49"/>
      <c r="C547" s="49"/>
      <c r="D547" s="49"/>
      <c r="E547" s="49"/>
    </row>
    <row r="548" spans="1:5">
      <c r="A548" s="49"/>
      <c r="B548" s="49"/>
      <c r="C548" s="49"/>
      <c r="D548" s="49"/>
      <c r="E548" s="49"/>
    </row>
    <row r="549" spans="1:5">
      <c r="A549" s="49"/>
      <c r="B549" s="49"/>
      <c r="C549" s="49"/>
      <c r="D549" s="49"/>
      <c r="E549" s="49"/>
    </row>
    <row r="550" spans="1:5">
      <c r="A550" s="49"/>
      <c r="B550" s="49"/>
      <c r="C550" s="49"/>
      <c r="D550" s="49"/>
      <c r="E550" s="49"/>
    </row>
    <row r="551" spans="1:5">
      <c r="A551" s="49"/>
      <c r="B551" s="49"/>
      <c r="C551" s="49"/>
      <c r="D551" s="49"/>
      <c r="E551" s="49"/>
    </row>
    <row r="552" spans="1:5">
      <c r="A552" s="49"/>
      <c r="B552" s="49"/>
      <c r="C552" s="49"/>
      <c r="D552" s="49"/>
      <c r="E552" s="49"/>
    </row>
    <row r="553" spans="1:5">
      <c r="A553" s="49"/>
      <c r="B553" s="49"/>
      <c r="C553" s="49"/>
      <c r="D553" s="49"/>
      <c r="E553" s="49"/>
    </row>
    <row r="554" spans="1:5">
      <c r="A554" s="49"/>
      <c r="B554" s="49"/>
      <c r="C554" s="49"/>
      <c r="D554" s="49"/>
      <c r="E554" s="49"/>
    </row>
    <row r="555" spans="1:5">
      <c r="A555" s="49"/>
      <c r="B555" s="49"/>
      <c r="C555" s="49"/>
      <c r="D555" s="49"/>
      <c r="E555" s="49"/>
    </row>
    <row r="556" spans="1:5">
      <c r="A556" s="49"/>
      <c r="B556" s="49"/>
      <c r="C556" s="49"/>
      <c r="D556" s="49"/>
      <c r="E556" s="49"/>
    </row>
    <row r="557" spans="1:5">
      <c r="A557" s="49"/>
      <c r="B557" s="49"/>
      <c r="C557" s="49"/>
      <c r="D557" s="49"/>
      <c r="E557" s="49"/>
    </row>
    <row r="558" spans="1:5">
      <c r="A558" s="49"/>
      <c r="B558" s="49"/>
      <c r="C558" s="49"/>
      <c r="D558" s="49"/>
      <c r="E558" s="49"/>
    </row>
    <row r="559" spans="1:5">
      <c r="A559" s="49"/>
      <c r="B559" s="49"/>
      <c r="C559" s="49"/>
      <c r="D559" s="49"/>
      <c r="E559" s="49"/>
    </row>
    <row r="560" spans="1:5">
      <c r="A560" s="49"/>
      <c r="B560" s="49"/>
      <c r="C560" s="49"/>
      <c r="D560" s="49"/>
      <c r="E560" s="49"/>
    </row>
    <row r="561" spans="1:5">
      <c r="A561" s="49"/>
      <c r="B561" s="49"/>
      <c r="C561" s="49"/>
      <c r="D561" s="49"/>
      <c r="E561" s="49"/>
    </row>
    <row r="562" spans="1:5">
      <c r="A562" s="49"/>
      <c r="B562" s="49"/>
      <c r="C562" s="49"/>
      <c r="D562" s="49"/>
      <c r="E562" s="49"/>
    </row>
    <row r="563" spans="1:5">
      <c r="A563" s="49"/>
      <c r="B563" s="49"/>
      <c r="C563" s="49"/>
      <c r="D563" s="49"/>
      <c r="E563" s="49"/>
    </row>
    <row r="564" spans="1:5">
      <c r="A564" s="49"/>
      <c r="B564" s="49"/>
      <c r="C564" s="49"/>
      <c r="D564" s="49"/>
      <c r="E564" s="49"/>
    </row>
    <row r="565" spans="1:5">
      <c r="A565" s="49"/>
      <c r="B565" s="49"/>
      <c r="C565" s="49"/>
      <c r="D565" s="49"/>
      <c r="E565" s="49"/>
    </row>
    <row r="566" spans="1:5">
      <c r="A566" s="49"/>
      <c r="B566" s="49"/>
      <c r="C566" s="49"/>
      <c r="D566" s="49"/>
      <c r="E566" s="49"/>
    </row>
    <row r="567" spans="1:5">
      <c r="A567" s="49"/>
      <c r="B567" s="49"/>
      <c r="C567" s="49"/>
      <c r="D567" s="49"/>
      <c r="E567" s="49"/>
    </row>
    <row r="568" spans="1:5">
      <c r="A568" s="49"/>
      <c r="B568" s="49"/>
      <c r="C568" s="49"/>
      <c r="D568" s="49"/>
      <c r="E568" s="49"/>
    </row>
    <row r="569" spans="1:5">
      <c r="A569" s="49"/>
      <c r="B569" s="49"/>
      <c r="C569" s="49"/>
      <c r="D569" s="49"/>
      <c r="E569" s="49"/>
    </row>
    <row r="570" spans="1:5">
      <c r="A570" s="49"/>
      <c r="B570" s="49"/>
      <c r="C570" s="49"/>
      <c r="D570" s="49"/>
      <c r="E570" s="49"/>
    </row>
    <row r="571" spans="1:5">
      <c r="A571" s="49"/>
      <c r="B571" s="49"/>
      <c r="C571" s="49"/>
      <c r="D571" s="49"/>
      <c r="E571" s="49"/>
    </row>
    <row r="572" spans="1:5">
      <c r="A572" s="49"/>
      <c r="B572" s="49"/>
      <c r="C572" s="49"/>
      <c r="D572" s="49"/>
      <c r="E572" s="49"/>
    </row>
    <row r="573" spans="1:5">
      <c r="A573" s="49"/>
      <c r="B573" s="49"/>
      <c r="C573" s="49"/>
      <c r="D573" s="49"/>
      <c r="E573" s="49"/>
    </row>
    <row r="574" spans="1:5">
      <c r="A574" s="49"/>
      <c r="B574" s="49"/>
      <c r="C574" s="49"/>
      <c r="D574" s="49"/>
      <c r="E574" s="49"/>
    </row>
    <row r="575" spans="1:5">
      <c r="A575" s="49"/>
      <c r="B575" s="49"/>
      <c r="C575" s="49"/>
      <c r="D575" s="49"/>
      <c r="E575" s="49"/>
    </row>
    <row r="576" spans="1:5">
      <c r="A576" s="49"/>
      <c r="B576" s="49"/>
      <c r="C576" s="49"/>
      <c r="D576" s="49"/>
      <c r="E576" s="49"/>
    </row>
    <row r="577" spans="1:5">
      <c r="A577" s="49"/>
      <c r="B577" s="49"/>
      <c r="C577" s="49"/>
      <c r="D577" s="49"/>
      <c r="E577" s="49"/>
    </row>
    <row r="578" spans="1:5">
      <c r="A578" s="49"/>
      <c r="B578" s="49"/>
      <c r="C578" s="49"/>
      <c r="D578" s="49"/>
      <c r="E578" s="49"/>
    </row>
    <row r="579" spans="1:5">
      <c r="A579" s="49"/>
      <c r="B579" s="49"/>
      <c r="C579" s="49"/>
      <c r="D579" s="49"/>
      <c r="E579" s="49"/>
    </row>
    <row r="580" spans="1:5">
      <c r="A580" s="49"/>
      <c r="B580" s="49"/>
      <c r="C580" s="49"/>
      <c r="D580" s="49"/>
      <c r="E580" s="49"/>
    </row>
    <row r="581" spans="1:5">
      <c r="A581" s="49"/>
      <c r="B581" s="49"/>
      <c r="C581" s="49"/>
      <c r="D581" s="49"/>
      <c r="E581" s="49"/>
    </row>
    <row r="582" spans="1:5">
      <c r="A582" s="49"/>
      <c r="B582" s="49"/>
      <c r="C582" s="49"/>
      <c r="D582" s="49"/>
      <c r="E582" s="49"/>
    </row>
    <row r="583" spans="1:5">
      <c r="A583" s="49"/>
      <c r="B583" s="49"/>
      <c r="C583" s="49"/>
      <c r="D583" s="49"/>
      <c r="E583" s="49"/>
    </row>
    <row r="584" spans="1:5">
      <c r="A584" s="49"/>
      <c r="B584" s="49"/>
      <c r="C584" s="49"/>
      <c r="D584" s="49"/>
      <c r="E584" s="49"/>
    </row>
    <row r="585" spans="1:5">
      <c r="A585" s="49"/>
      <c r="B585" s="49"/>
      <c r="C585" s="49"/>
      <c r="D585" s="49"/>
      <c r="E585" s="49"/>
    </row>
    <row r="586" spans="1:5">
      <c r="A586" s="49"/>
      <c r="B586" s="49"/>
      <c r="C586" s="49"/>
      <c r="D586" s="49"/>
      <c r="E586" s="49"/>
    </row>
    <row r="587" spans="1:5">
      <c r="A587" s="49"/>
      <c r="B587" s="49"/>
      <c r="C587" s="49"/>
      <c r="D587" s="49"/>
      <c r="E587" s="49"/>
    </row>
    <row r="588" spans="1:5">
      <c r="A588" s="49"/>
      <c r="B588" s="49"/>
      <c r="C588" s="49"/>
      <c r="D588" s="49"/>
      <c r="E588" s="49"/>
    </row>
    <row r="589" spans="1:5">
      <c r="A589" s="49"/>
      <c r="B589" s="49"/>
      <c r="C589" s="49"/>
      <c r="D589" s="49"/>
      <c r="E589" s="49"/>
    </row>
    <row r="590" spans="1:5">
      <c r="A590" s="49"/>
      <c r="B590" s="49"/>
      <c r="C590" s="49"/>
      <c r="D590" s="49"/>
      <c r="E590" s="49"/>
    </row>
    <row r="591" spans="1:5">
      <c r="A591" s="49"/>
      <c r="B591" s="49"/>
      <c r="C591" s="49"/>
      <c r="D591" s="49"/>
      <c r="E591" s="49"/>
    </row>
    <row r="592" spans="1:5">
      <c r="A592" s="49"/>
      <c r="B592" s="49"/>
      <c r="C592" s="49"/>
      <c r="D592" s="49"/>
      <c r="E592" s="49"/>
    </row>
    <row r="593" spans="1:5">
      <c r="A593" s="49"/>
      <c r="B593" s="49"/>
      <c r="C593" s="49"/>
      <c r="D593" s="49"/>
      <c r="E593" s="49"/>
    </row>
    <row r="594" spans="1:5">
      <c r="A594" s="49"/>
      <c r="B594" s="49"/>
      <c r="C594" s="49"/>
      <c r="D594" s="49"/>
      <c r="E594" s="49"/>
    </row>
    <row r="595" spans="1:5">
      <c r="A595" s="49"/>
      <c r="B595" s="49"/>
      <c r="C595" s="49"/>
      <c r="D595" s="49"/>
      <c r="E595" s="49"/>
    </row>
    <row r="596" spans="1:5">
      <c r="A596" s="49"/>
      <c r="B596" s="49"/>
      <c r="C596" s="49"/>
      <c r="D596" s="49"/>
      <c r="E596" s="49"/>
    </row>
    <row r="597" spans="1:5">
      <c r="A597" s="49"/>
      <c r="B597" s="49"/>
      <c r="C597" s="49"/>
      <c r="D597" s="49"/>
      <c r="E597" s="49"/>
    </row>
    <row r="598" spans="1:5">
      <c r="A598" s="49"/>
      <c r="B598" s="49"/>
      <c r="C598" s="49"/>
      <c r="D598" s="49"/>
      <c r="E598" s="49"/>
    </row>
    <row r="599" spans="1:5">
      <c r="A599" s="49"/>
      <c r="B599" s="49"/>
      <c r="C599" s="49"/>
      <c r="D599" s="49"/>
      <c r="E599" s="49"/>
    </row>
    <row r="600" spans="1:5">
      <c r="A600" s="49"/>
      <c r="B600" s="49"/>
      <c r="C600" s="49"/>
      <c r="D600" s="49"/>
      <c r="E600" s="49"/>
    </row>
    <row r="601" spans="1:5">
      <c r="A601" s="49"/>
      <c r="B601" s="49"/>
      <c r="C601" s="49"/>
      <c r="D601" s="49"/>
      <c r="E601" s="49"/>
    </row>
    <row r="602" spans="1:5">
      <c r="A602" s="49"/>
      <c r="B602" s="49"/>
      <c r="C602" s="49"/>
      <c r="D602" s="49"/>
      <c r="E602" s="49"/>
    </row>
    <row r="603" spans="1:5">
      <c r="A603" s="49"/>
      <c r="B603" s="49"/>
      <c r="C603" s="49"/>
      <c r="D603" s="49"/>
      <c r="E603" s="49"/>
    </row>
    <row r="604" spans="1:5">
      <c r="A604" s="49"/>
      <c r="B604" s="49"/>
      <c r="C604" s="49"/>
      <c r="D604" s="49"/>
      <c r="E604" s="49"/>
    </row>
    <row r="605" spans="1:5">
      <c r="A605" s="49"/>
      <c r="B605" s="49"/>
      <c r="C605" s="49"/>
      <c r="D605" s="49"/>
      <c r="E605" s="49"/>
    </row>
    <row r="606" spans="1:5">
      <c r="A606" s="49"/>
      <c r="B606" s="49"/>
      <c r="C606" s="49"/>
      <c r="D606" s="49"/>
      <c r="E606" s="49"/>
    </row>
    <row r="607" spans="1:5">
      <c r="A607" s="49"/>
      <c r="B607" s="49"/>
      <c r="C607" s="49"/>
      <c r="D607" s="49"/>
      <c r="E607" s="49"/>
    </row>
    <row r="608" spans="1:5">
      <c r="A608" s="49"/>
      <c r="B608" s="49"/>
      <c r="C608" s="49"/>
      <c r="D608" s="49"/>
      <c r="E608" s="49"/>
    </row>
    <row r="609" spans="1:5">
      <c r="A609" s="49"/>
      <c r="B609" s="49"/>
      <c r="C609" s="49"/>
      <c r="D609" s="49"/>
      <c r="E609" s="49"/>
    </row>
    <row r="610" spans="1:5">
      <c r="A610" s="49"/>
      <c r="B610" s="49"/>
      <c r="C610" s="49"/>
      <c r="D610" s="49"/>
      <c r="E610" s="49"/>
    </row>
    <row r="611" spans="1:5">
      <c r="A611" s="49"/>
      <c r="B611" s="49"/>
      <c r="C611" s="49"/>
      <c r="D611" s="49"/>
      <c r="E611" s="49"/>
    </row>
    <row r="612" spans="1:5">
      <c r="A612" s="49"/>
      <c r="B612" s="49"/>
      <c r="C612" s="49"/>
      <c r="D612" s="49"/>
      <c r="E612" s="49"/>
    </row>
    <row r="613" spans="1:5">
      <c r="A613" s="49"/>
      <c r="B613" s="49"/>
      <c r="C613" s="49"/>
      <c r="D613" s="49"/>
      <c r="E613" s="49"/>
    </row>
    <row r="614" spans="1:5">
      <c r="A614" s="49"/>
      <c r="B614" s="49"/>
      <c r="C614" s="49"/>
      <c r="D614" s="49"/>
      <c r="E614" s="49"/>
    </row>
    <row r="615" spans="1:5">
      <c r="A615" s="49"/>
      <c r="B615" s="49"/>
      <c r="C615" s="49"/>
      <c r="D615" s="49"/>
      <c r="E615" s="49"/>
    </row>
    <row r="616" spans="1:5">
      <c r="A616" s="49"/>
      <c r="B616" s="49"/>
      <c r="C616" s="49"/>
      <c r="D616" s="49"/>
      <c r="E616" s="49"/>
    </row>
    <row r="617" spans="1:5">
      <c r="A617" s="49"/>
      <c r="B617" s="49"/>
      <c r="C617" s="49"/>
      <c r="D617" s="49"/>
      <c r="E617" s="49"/>
    </row>
    <row r="618" spans="1:5">
      <c r="A618" s="49"/>
      <c r="B618" s="49"/>
      <c r="C618" s="49"/>
      <c r="D618" s="49"/>
      <c r="E618" s="49"/>
    </row>
    <row r="619" spans="1:5">
      <c r="A619" s="49"/>
      <c r="B619" s="49"/>
      <c r="C619" s="49"/>
      <c r="D619" s="49"/>
      <c r="E619" s="49"/>
    </row>
    <row r="620" spans="1:5">
      <c r="A620" s="49"/>
      <c r="B620" s="49"/>
      <c r="C620" s="49"/>
      <c r="D620" s="49"/>
      <c r="E620" s="49"/>
    </row>
    <row r="621" spans="1:5">
      <c r="A621" s="49"/>
      <c r="B621" s="49"/>
      <c r="C621" s="49"/>
      <c r="D621" s="49"/>
      <c r="E621" s="49"/>
    </row>
    <row r="622" spans="1:5">
      <c r="A622" s="49"/>
      <c r="B622" s="49"/>
      <c r="C622" s="49"/>
      <c r="D622" s="49"/>
      <c r="E622" s="49"/>
    </row>
    <row r="623" spans="1:5">
      <c r="A623" s="49"/>
      <c r="B623" s="49"/>
      <c r="C623" s="49"/>
      <c r="D623" s="49"/>
      <c r="E623" s="49"/>
    </row>
    <row r="624" spans="1:5">
      <c r="A624" s="49"/>
      <c r="B624" s="49"/>
      <c r="C624" s="49"/>
      <c r="D624" s="49"/>
      <c r="E624" s="49"/>
    </row>
    <row r="625" spans="1:5">
      <c r="A625" s="49"/>
      <c r="B625" s="49"/>
      <c r="C625" s="49"/>
      <c r="D625" s="49"/>
      <c r="E625" s="49"/>
    </row>
    <row r="626" spans="1:5">
      <c r="A626" s="49"/>
      <c r="B626" s="49"/>
      <c r="C626" s="49"/>
      <c r="D626" s="49"/>
      <c r="E626" s="49"/>
    </row>
    <row r="627" spans="1:5">
      <c r="A627" s="49"/>
      <c r="B627" s="49"/>
      <c r="C627" s="49"/>
      <c r="D627" s="49"/>
      <c r="E627" s="49"/>
    </row>
    <row r="628" spans="1:5">
      <c r="A628" s="49"/>
      <c r="B628" s="49"/>
      <c r="C628" s="49"/>
      <c r="D628" s="49"/>
      <c r="E628" s="49"/>
    </row>
    <row r="629" spans="1:5">
      <c r="A629" s="49"/>
      <c r="B629" s="49"/>
      <c r="C629" s="49"/>
      <c r="D629" s="49"/>
      <c r="E629" s="49"/>
    </row>
    <row r="630" spans="1:5">
      <c r="A630" s="49"/>
      <c r="B630" s="49"/>
      <c r="C630" s="49"/>
      <c r="D630" s="49"/>
      <c r="E630" s="49"/>
    </row>
    <row r="631" spans="1:5">
      <c r="A631" s="49"/>
      <c r="B631" s="49"/>
      <c r="C631" s="49"/>
      <c r="D631" s="49"/>
      <c r="E631" s="49"/>
    </row>
    <row r="632" spans="1:5">
      <c r="A632" s="49"/>
      <c r="B632" s="49"/>
      <c r="C632" s="49"/>
      <c r="D632" s="49"/>
      <c r="E632" s="49"/>
    </row>
    <row r="633" spans="1:5">
      <c r="A633" s="49"/>
      <c r="B633" s="49"/>
      <c r="C633" s="49"/>
      <c r="D633" s="49"/>
      <c r="E633" s="49"/>
    </row>
    <row r="634" spans="1:5">
      <c r="A634" s="49"/>
      <c r="B634" s="49"/>
      <c r="C634" s="49"/>
      <c r="D634" s="49"/>
      <c r="E634" s="49"/>
    </row>
    <row r="635" spans="1:5">
      <c r="A635" s="49"/>
      <c r="B635" s="49"/>
      <c r="C635" s="49"/>
      <c r="D635" s="49"/>
      <c r="E635" s="49"/>
    </row>
    <row r="636" spans="1:5">
      <c r="A636" s="49"/>
      <c r="B636" s="49"/>
      <c r="C636" s="49"/>
      <c r="D636" s="49"/>
      <c r="E636" s="49"/>
    </row>
    <row r="637" spans="1:5">
      <c r="A637" s="49"/>
      <c r="B637" s="49"/>
      <c r="C637" s="49"/>
      <c r="D637" s="49"/>
      <c r="E637" s="49"/>
    </row>
    <row r="638" spans="1:5">
      <c r="A638" s="49"/>
      <c r="B638" s="49"/>
      <c r="C638" s="49"/>
      <c r="D638" s="49"/>
      <c r="E638" s="49"/>
    </row>
    <row r="639" spans="1:5">
      <c r="A639" s="49"/>
      <c r="B639" s="49"/>
      <c r="C639" s="49"/>
      <c r="D639" s="49"/>
      <c r="E639" s="49"/>
    </row>
    <row r="640" spans="1:5">
      <c r="A640" s="49"/>
      <c r="B640" s="49"/>
      <c r="C640" s="49"/>
      <c r="D640" s="49"/>
      <c r="E640" s="49"/>
    </row>
    <row r="641" spans="1:5">
      <c r="A641" s="49"/>
      <c r="B641" s="49"/>
      <c r="C641" s="49"/>
      <c r="D641" s="49"/>
      <c r="E641" s="49"/>
    </row>
    <row r="642" spans="1:5">
      <c r="A642" s="49"/>
      <c r="B642" s="49"/>
      <c r="C642" s="49"/>
      <c r="D642" s="49"/>
      <c r="E642" s="49"/>
    </row>
    <row r="643" spans="1:5">
      <c r="A643" s="49"/>
      <c r="B643" s="49"/>
      <c r="C643" s="49"/>
      <c r="D643" s="49"/>
      <c r="E643" s="49"/>
    </row>
    <row r="644" spans="1:5">
      <c r="A644" s="49"/>
      <c r="B644" s="49"/>
      <c r="C644" s="49"/>
      <c r="D644" s="49"/>
      <c r="E644" s="49"/>
    </row>
    <row r="645" spans="1:5">
      <c r="A645" s="49"/>
      <c r="B645" s="49"/>
      <c r="C645" s="49"/>
      <c r="D645" s="49"/>
      <c r="E645" s="49"/>
    </row>
    <row r="646" spans="1:5">
      <c r="A646" s="49"/>
      <c r="B646" s="49"/>
      <c r="C646" s="49"/>
      <c r="D646" s="49"/>
      <c r="E646" s="49"/>
    </row>
    <row r="647" spans="1:5">
      <c r="A647" s="49"/>
      <c r="B647" s="49"/>
      <c r="C647" s="49"/>
      <c r="D647" s="49"/>
      <c r="E647" s="49"/>
    </row>
    <row r="648" spans="1:5">
      <c r="A648" s="49"/>
      <c r="B648" s="49"/>
      <c r="C648" s="49"/>
      <c r="D648" s="49"/>
      <c r="E648" s="49"/>
    </row>
    <row r="649" spans="1:5">
      <c r="A649" s="49"/>
      <c r="B649" s="49"/>
      <c r="C649" s="49"/>
      <c r="D649" s="49"/>
      <c r="E649" s="49"/>
    </row>
    <row r="650" spans="1:5">
      <c r="A650" s="49"/>
      <c r="B650" s="49"/>
      <c r="C650" s="49"/>
      <c r="D650" s="49"/>
      <c r="E650" s="49"/>
    </row>
    <row r="651" spans="1:5">
      <c r="A651" s="49"/>
      <c r="B651" s="49"/>
      <c r="C651" s="49"/>
      <c r="D651" s="49"/>
      <c r="E651" s="49"/>
    </row>
    <row r="652" spans="1:5">
      <c r="A652" s="49"/>
      <c r="B652" s="49"/>
      <c r="C652" s="49"/>
      <c r="D652" s="49"/>
      <c r="E652" s="49"/>
    </row>
    <row r="653" spans="1:5">
      <c r="A653" s="49"/>
      <c r="B653" s="49"/>
      <c r="C653" s="49"/>
      <c r="D653" s="49"/>
      <c r="E653" s="49"/>
    </row>
    <row r="654" spans="1:5">
      <c r="A654" s="49"/>
      <c r="B654" s="49"/>
      <c r="C654" s="49"/>
      <c r="D654" s="49"/>
      <c r="E654" s="49"/>
    </row>
    <row r="655" spans="1:5">
      <c r="A655" s="49"/>
      <c r="B655" s="49"/>
      <c r="C655" s="49"/>
      <c r="D655" s="49"/>
      <c r="E655" s="49"/>
    </row>
    <row r="656" spans="1:5">
      <c r="A656" s="49"/>
      <c r="B656" s="49"/>
      <c r="C656" s="49"/>
      <c r="D656" s="49"/>
      <c r="E656" s="49"/>
    </row>
    <row r="657" spans="1:5">
      <c r="A657" s="49"/>
      <c r="B657" s="49"/>
      <c r="C657" s="49"/>
      <c r="D657" s="49"/>
      <c r="E657" s="49"/>
    </row>
    <row r="658" spans="1:5">
      <c r="A658" s="49"/>
      <c r="B658" s="49"/>
      <c r="C658" s="49"/>
      <c r="D658" s="49"/>
      <c r="E658" s="49"/>
    </row>
    <row r="659" spans="1:5">
      <c r="A659" s="49"/>
      <c r="B659" s="49"/>
      <c r="C659" s="49"/>
      <c r="D659" s="49"/>
      <c r="E659" s="49"/>
    </row>
    <row r="660" spans="1:5">
      <c r="A660" s="49"/>
      <c r="B660" s="49"/>
      <c r="C660" s="49"/>
      <c r="D660" s="49"/>
      <c r="E660" s="49"/>
    </row>
    <row r="661" spans="1:5">
      <c r="A661" s="49"/>
      <c r="B661" s="49"/>
      <c r="C661" s="49"/>
      <c r="D661" s="49"/>
      <c r="E661" s="49"/>
    </row>
    <row r="662" spans="1:5">
      <c r="A662" s="49"/>
      <c r="B662" s="49"/>
      <c r="C662" s="49"/>
      <c r="D662" s="49"/>
      <c r="E662" s="49"/>
    </row>
    <row r="663" spans="1:5">
      <c r="A663" s="49"/>
      <c r="B663" s="49"/>
      <c r="C663" s="49"/>
      <c r="D663" s="49"/>
      <c r="E663" s="49"/>
    </row>
    <row r="664" spans="1:5">
      <c r="A664" s="49"/>
      <c r="B664" s="49"/>
      <c r="C664" s="49"/>
      <c r="D664" s="49"/>
      <c r="E664" s="49"/>
    </row>
    <row r="665" spans="1:5">
      <c r="A665" s="49"/>
      <c r="B665" s="49"/>
      <c r="C665" s="49"/>
      <c r="D665" s="49"/>
      <c r="E665" s="49"/>
    </row>
    <row r="666" spans="1:5">
      <c r="A666" s="49"/>
      <c r="B666" s="49"/>
      <c r="C666" s="49"/>
      <c r="D666" s="49"/>
      <c r="E666" s="49"/>
    </row>
    <row r="667" spans="1:5">
      <c r="A667" s="49"/>
      <c r="B667" s="49"/>
      <c r="C667" s="49"/>
      <c r="D667" s="49"/>
      <c r="E667" s="49"/>
    </row>
    <row r="668" spans="1:5">
      <c r="A668" s="49"/>
      <c r="B668" s="49"/>
      <c r="C668" s="49"/>
      <c r="D668" s="49"/>
      <c r="E668" s="49"/>
    </row>
    <row r="669" spans="1:5">
      <c r="A669" s="49"/>
      <c r="B669" s="49"/>
      <c r="C669" s="49"/>
      <c r="D669" s="49"/>
      <c r="E669" s="49"/>
    </row>
    <row r="670" spans="1:5">
      <c r="A670" s="49"/>
      <c r="B670" s="49"/>
      <c r="C670" s="49"/>
      <c r="D670" s="49"/>
      <c r="E670" s="49"/>
    </row>
    <row r="671" spans="1:5">
      <c r="A671" s="49"/>
      <c r="B671" s="49"/>
      <c r="C671" s="49"/>
      <c r="D671" s="49"/>
      <c r="E671" s="49"/>
    </row>
    <row r="672" spans="1:5">
      <c r="A672" s="49"/>
      <c r="B672" s="49"/>
      <c r="C672" s="49"/>
      <c r="D672" s="49"/>
      <c r="E672" s="49"/>
    </row>
    <row r="673" spans="1:5">
      <c r="A673" s="49"/>
      <c r="B673" s="49"/>
      <c r="C673" s="49"/>
      <c r="D673" s="49"/>
      <c r="E673" s="49"/>
    </row>
    <row r="674" spans="1:5">
      <c r="A674" s="49"/>
      <c r="B674" s="49"/>
      <c r="C674" s="49"/>
      <c r="D674" s="49"/>
      <c r="E674" s="49"/>
    </row>
    <row r="675" spans="1:5">
      <c r="A675" s="49"/>
      <c r="B675" s="49"/>
      <c r="C675" s="49"/>
      <c r="D675" s="49"/>
      <c r="E675" s="49"/>
    </row>
    <row r="676" spans="1:5">
      <c r="A676" s="49"/>
      <c r="B676" s="49"/>
      <c r="C676" s="49"/>
      <c r="D676" s="49"/>
      <c r="E676" s="49"/>
    </row>
    <row r="677" spans="1:5">
      <c r="A677" s="49"/>
      <c r="B677" s="49"/>
      <c r="C677" s="49"/>
      <c r="D677" s="49"/>
      <c r="E677" s="49"/>
    </row>
    <row r="678" spans="1:5">
      <c r="A678" s="49"/>
      <c r="B678" s="49"/>
      <c r="C678" s="49"/>
      <c r="D678" s="49"/>
      <c r="E678" s="49"/>
    </row>
    <row r="679" spans="1:5">
      <c r="A679" s="49"/>
      <c r="B679" s="49"/>
      <c r="C679" s="49"/>
      <c r="D679" s="49"/>
      <c r="E679" s="49"/>
    </row>
    <row r="680" spans="1:5">
      <c r="A680" s="49"/>
      <c r="B680" s="49"/>
      <c r="C680" s="49"/>
      <c r="D680" s="49"/>
      <c r="E680" s="49"/>
    </row>
    <row r="681" spans="1:5">
      <c r="A681" s="49"/>
      <c r="B681" s="49"/>
      <c r="C681" s="49"/>
      <c r="D681" s="49"/>
      <c r="E681" s="49"/>
    </row>
    <row r="682" spans="1:5">
      <c r="A682" s="49"/>
      <c r="B682" s="49"/>
      <c r="C682" s="49"/>
      <c r="D682" s="49"/>
      <c r="E682" s="49"/>
    </row>
    <row r="683" spans="1:5">
      <c r="A683" s="49"/>
      <c r="B683" s="49"/>
      <c r="C683" s="49"/>
      <c r="D683" s="49"/>
      <c r="E683" s="49"/>
    </row>
    <row r="684" spans="1:5">
      <c r="A684" s="49"/>
      <c r="B684" s="49"/>
      <c r="C684" s="49"/>
      <c r="D684" s="49"/>
      <c r="E684" s="49"/>
    </row>
    <row r="685" spans="1:5">
      <c r="A685" s="49"/>
      <c r="B685" s="49"/>
      <c r="C685" s="49"/>
      <c r="D685" s="49"/>
      <c r="E685" s="49"/>
    </row>
    <row r="686" spans="1:5">
      <c r="A686" s="49"/>
      <c r="B686" s="49"/>
      <c r="C686" s="49"/>
      <c r="D686" s="49"/>
      <c r="E686" s="49"/>
    </row>
    <row r="687" spans="1:5">
      <c r="A687" s="49"/>
      <c r="B687" s="49"/>
      <c r="C687" s="49"/>
      <c r="D687" s="49"/>
      <c r="E687" s="49"/>
    </row>
    <row r="688" spans="1:5">
      <c r="A688" s="49"/>
      <c r="B688" s="49"/>
      <c r="C688" s="49"/>
      <c r="D688" s="49"/>
      <c r="E688" s="49"/>
    </row>
    <row r="689" spans="1:5">
      <c r="A689" s="49"/>
      <c r="B689" s="49"/>
      <c r="C689" s="49"/>
      <c r="D689" s="49"/>
      <c r="E689" s="49"/>
    </row>
    <row r="690" spans="1:5">
      <c r="A690" s="49"/>
      <c r="B690" s="49"/>
      <c r="C690" s="49"/>
      <c r="D690" s="49"/>
      <c r="E690" s="49"/>
    </row>
    <row r="691" spans="1:5">
      <c r="A691" s="49"/>
      <c r="B691" s="49"/>
      <c r="C691" s="49"/>
      <c r="D691" s="49"/>
      <c r="E691" s="49"/>
    </row>
    <row r="692" spans="1:5">
      <c r="A692" s="49"/>
      <c r="B692" s="49"/>
      <c r="C692" s="49"/>
      <c r="D692" s="49"/>
      <c r="E692" s="49"/>
    </row>
    <row r="693" spans="1:5">
      <c r="A693" s="49"/>
      <c r="B693" s="49"/>
      <c r="C693" s="49"/>
      <c r="D693" s="49"/>
      <c r="E693" s="49"/>
    </row>
    <row r="694" spans="1:5">
      <c r="A694" s="49"/>
      <c r="B694" s="49"/>
      <c r="C694" s="49"/>
      <c r="D694" s="49"/>
      <c r="E694" s="49"/>
    </row>
    <row r="695" spans="1:5">
      <c r="A695" s="49"/>
      <c r="B695" s="49"/>
      <c r="C695" s="49"/>
      <c r="D695" s="49"/>
      <c r="E695" s="49"/>
    </row>
    <row r="696" spans="1:5">
      <c r="A696" s="49"/>
      <c r="B696" s="49"/>
      <c r="C696" s="49"/>
      <c r="D696" s="49"/>
      <c r="E696" s="49"/>
    </row>
    <row r="697" spans="1:5">
      <c r="A697" s="49"/>
      <c r="B697" s="49"/>
      <c r="C697" s="49"/>
      <c r="D697" s="49"/>
      <c r="E697" s="49"/>
    </row>
    <row r="698" spans="1:5">
      <c r="A698" s="49"/>
      <c r="B698" s="49"/>
      <c r="C698" s="49"/>
      <c r="D698" s="49"/>
      <c r="E698" s="49"/>
    </row>
    <row r="699" spans="1:5">
      <c r="A699" s="49"/>
      <c r="B699" s="49"/>
      <c r="C699" s="49"/>
      <c r="D699" s="49"/>
      <c r="E699" s="49"/>
    </row>
    <row r="700" spans="1:5">
      <c r="A700" s="49"/>
      <c r="B700" s="49"/>
      <c r="C700" s="49"/>
      <c r="D700" s="49"/>
      <c r="E700" s="49"/>
    </row>
    <row r="701" spans="1:5">
      <c r="A701" s="49"/>
      <c r="B701" s="49"/>
      <c r="C701" s="49"/>
      <c r="D701" s="49"/>
      <c r="E701" s="49"/>
    </row>
    <row r="702" spans="1:5">
      <c r="A702" s="49"/>
      <c r="B702" s="49"/>
      <c r="C702" s="49"/>
      <c r="D702" s="49"/>
      <c r="E702" s="49"/>
    </row>
    <row r="703" spans="1:5">
      <c r="A703" s="49"/>
      <c r="B703" s="49"/>
      <c r="C703" s="49"/>
      <c r="D703" s="49"/>
      <c r="E703" s="49"/>
    </row>
    <row r="704" spans="1:5">
      <c r="A704" s="49"/>
      <c r="B704" s="49"/>
      <c r="C704" s="49"/>
      <c r="D704" s="49"/>
      <c r="E704" s="49"/>
    </row>
    <row r="705" spans="1:5">
      <c r="A705" s="49"/>
      <c r="B705" s="49"/>
      <c r="C705" s="49"/>
      <c r="D705" s="49"/>
      <c r="E705" s="49"/>
    </row>
    <row r="706" spans="1:5">
      <c r="A706" s="49"/>
      <c r="B706" s="49"/>
      <c r="C706" s="49"/>
      <c r="D706" s="49"/>
      <c r="E706" s="49"/>
    </row>
    <row r="707" spans="1:5">
      <c r="A707" s="49"/>
      <c r="B707" s="49"/>
      <c r="C707" s="49"/>
      <c r="D707" s="49"/>
      <c r="E707" s="49"/>
    </row>
    <row r="708" spans="1:5">
      <c r="A708" s="49"/>
      <c r="B708" s="49"/>
      <c r="C708" s="49"/>
      <c r="D708" s="49"/>
      <c r="E708" s="49"/>
    </row>
    <row r="709" spans="1:5">
      <c r="A709" s="49"/>
      <c r="B709" s="49"/>
      <c r="C709" s="49"/>
      <c r="D709" s="49"/>
      <c r="E709" s="49"/>
    </row>
    <row r="710" spans="1:5">
      <c r="A710" s="49"/>
      <c r="B710" s="49"/>
      <c r="C710" s="49"/>
      <c r="D710" s="49"/>
      <c r="E710" s="49"/>
    </row>
    <row r="711" spans="1:5">
      <c r="A711" s="49"/>
      <c r="B711" s="49"/>
      <c r="C711" s="49"/>
      <c r="D711" s="49"/>
      <c r="E711" s="49"/>
    </row>
    <row r="712" spans="1:5">
      <c r="A712" s="49"/>
      <c r="B712" s="49"/>
      <c r="C712" s="49"/>
      <c r="D712" s="49"/>
      <c r="E712" s="49"/>
    </row>
    <row r="713" spans="1:5">
      <c r="A713" s="49"/>
      <c r="B713" s="49"/>
      <c r="C713" s="49"/>
      <c r="D713" s="49"/>
      <c r="E713" s="49"/>
    </row>
    <row r="714" spans="1:5">
      <c r="A714" s="49"/>
      <c r="B714" s="49"/>
      <c r="C714" s="49"/>
      <c r="D714" s="49"/>
      <c r="E714" s="49"/>
    </row>
    <row r="715" spans="1:5">
      <c r="A715" s="49"/>
      <c r="B715" s="49"/>
      <c r="C715" s="49"/>
      <c r="D715" s="49"/>
      <c r="E715" s="49"/>
    </row>
    <row r="716" spans="1:5">
      <c r="A716" s="49"/>
      <c r="B716" s="49"/>
      <c r="C716" s="49"/>
      <c r="D716" s="49"/>
      <c r="E716" s="49"/>
    </row>
    <row r="717" spans="1:5">
      <c r="A717" s="49"/>
      <c r="B717" s="49"/>
      <c r="C717" s="49"/>
      <c r="D717" s="49"/>
      <c r="E717" s="49"/>
    </row>
    <row r="718" spans="1:5">
      <c r="A718" s="49"/>
      <c r="B718" s="49"/>
      <c r="C718" s="49"/>
      <c r="D718" s="49"/>
      <c r="E718" s="49"/>
    </row>
    <row r="719" spans="1:5">
      <c r="A719" s="49"/>
      <c r="B719" s="49"/>
      <c r="C719" s="49"/>
      <c r="D719" s="49"/>
      <c r="E719" s="49"/>
    </row>
    <row r="720" spans="1:5">
      <c r="A720" s="49"/>
      <c r="B720" s="49"/>
      <c r="C720" s="49"/>
      <c r="D720" s="49"/>
      <c r="E720" s="49"/>
    </row>
    <row r="721" spans="1:5">
      <c r="A721" s="49"/>
      <c r="B721" s="49"/>
      <c r="C721" s="49"/>
      <c r="D721" s="49"/>
      <c r="E721" s="49"/>
    </row>
    <row r="722" spans="1:5">
      <c r="A722" s="49"/>
      <c r="B722" s="49"/>
      <c r="C722" s="49"/>
      <c r="D722" s="49"/>
      <c r="E722" s="49"/>
    </row>
    <row r="723" spans="1:5">
      <c r="A723" s="49"/>
      <c r="B723" s="49"/>
      <c r="C723" s="49"/>
      <c r="D723" s="49"/>
      <c r="E723" s="49"/>
    </row>
    <row r="724" spans="1:5">
      <c r="A724" s="49"/>
      <c r="B724" s="49"/>
      <c r="C724" s="49"/>
      <c r="D724" s="49"/>
      <c r="E724" s="49"/>
    </row>
    <row r="725" spans="1:5">
      <c r="A725" s="49"/>
      <c r="B725" s="49"/>
      <c r="C725" s="49"/>
      <c r="D725" s="49"/>
      <c r="E725" s="49"/>
    </row>
    <row r="726" spans="1:5">
      <c r="A726" s="49"/>
      <c r="B726" s="49"/>
      <c r="C726" s="49"/>
      <c r="D726" s="49"/>
      <c r="E726" s="49"/>
    </row>
    <row r="727" spans="1:5">
      <c r="A727" s="49"/>
      <c r="B727" s="49"/>
      <c r="C727" s="49"/>
      <c r="D727" s="49"/>
      <c r="E727" s="49"/>
    </row>
    <row r="728" spans="1:5">
      <c r="A728" s="49"/>
      <c r="B728" s="49"/>
      <c r="C728" s="49"/>
      <c r="D728" s="49"/>
      <c r="E728" s="49"/>
    </row>
    <row r="729" spans="1:5">
      <c r="A729" s="49"/>
      <c r="B729" s="49"/>
      <c r="C729" s="49"/>
      <c r="D729" s="49"/>
      <c r="E729" s="49"/>
    </row>
    <row r="730" spans="1:5">
      <c r="A730" s="49"/>
      <c r="B730" s="49"/>
      <c r="C730" s="49"/>
      <c r="D730" s="49"/>
      <c r="E730" s="49"/>
    </row>
    <row r="731" spans="1:5">
      <c r="A731" s="49"/>
      <c r="B731" s="49"/>
      <c r="C731" s="49"/>
      <c r="D731" s="49"/>
      <c r="E731" s="49"/>
    </row>
    <row r="732" spans="1:5">
      <c r="A732" s="49"/>
      <c r="B732" s="49"/>
      <c r="C732" s="49"/>
      <c r="D732" s="49"/>
      <c r="E732" s="49"/>
    </row>
    <row r="733" spans="1:5">
      <c r="A733" s="49"/>
      <c r="B733" s="49"/>
      <c r="C733" s="49"/>
      <c r="D733" s="49"/>
      <c r="E733" s="49"/>
    </row>
    <row r="734" spans="1:5">
      <c r="A734" s="49"/>
      <c r="B734" s="49"/>
      <c r="C734" s="49"/>
      <c r="D734" s="49"/>
      <c r="E734" s="49"/>
    </row>
    <row r="735" spans="1:5">
      <c r="A735" s="49"/>
      <c r="B735" s="49"/>
      <c r="C735" s="49"/>
      <c r="D735" s="49"/>
      <c r="E735" s="49"/>
    </row>
    <row r="736" spans="1:5">
      <c r="A736" s="49"/>
      <c r="B736" s="49"/>
      <c r="C736" s="49"/>
      <c r="D736" s="49"/>
      <c r="E736" s="49"/>
    </row>
    <row r="737" spans="1:5">
      <c r="A737" s="49"/>
      <c r="B737" s="49"/>
      <c r="C737" s="49"/>
      <c r="D737" s="49"/>
      <c r="E737" s="49"/>
    </row>
    <row r="738" spans="1:5">
      <c r="A738" s="49"/>
      <c r="B738" s="49"/>
      <c r="C738" s="49"/>
      <c r="D738" s="49"/>
      <c r="E738" s="49"/>
    </row>
    <row r="739" spans="1:5">
      <c r="A739" s="49"/>
      <c r="B739" s="49"/>
      <c r="C739" s="49"/>
      <c r="D739" s="49"/>
      <c r="E739" s="49"/>
    </row>
    <row r="740" spans="1:5">
      <c r="A740" s="49"/>
      <c r="B740" s="49"/>
      <c r="C740" s="49"/>
      <c r="D740" s="49"/>
      <c r="E740" s="49"/>
    </row>
    <row r="741" spans="1:5">
      <c r="A741" s="49"/>
      <c r="B741" s="49"/>
      <c r="C741" s="49"/>
      <c r="D741" s="49"/>
      <c r="E741" s="49"/>
    </row>
    <row r="742" spans="1:5">
      <c r="A742" s="49"/>
      <c r="B742" s="49"/>
      <c r="C742" s="49"/>
      <c r="D742" s="49"/>
      <c r="E742" s="49"/>
    </row>
    <row r="743" spans="1:5">
      <c r="A743" s="49"/>
      <c r="B743" s="49"/>
      <c r="C743" s="49"/>
      <c r="D743" s="49"/>
      <c r="E743" s="49"/>
    </row>
    <row r="744" spans="1:5">
      <c r="A744" s="49"/>
      <c r="B744" s="49"/>
      <c r="C744" s="49"/>
      <c r="D744" s="49"/>
      <c r="E744" s="49"/>
    </row>
    <row r="745" spans="1:5">
      <c r="A745" s="49"/>
      <c r="B745" s="49"/>
      <c r="C745" s="49"/>
      <c r="D745" s="49"/>
      <c r="E745" s="49"/>
    </row>
    <row r="746" spans="1:5">
      <c r="A746" s="49"/>
      <c r="B746" s="49"/>
      <c r="C746" s="49"/>
      <c r="D746" s="49"/>
      <c r="E746" s="49"/>
    </row>
    <row r="747" spans="1:5">
      <c r="A747" s="49"/>
      <c r="B747" s="49"/>
      <c r="C747" s="49"/>
      <c r="D747" s="49"/>
      <c r="E747" s="49"/>
    </row>
    <row r="748" spans="1:5">
      <c r="A748" s="49"/>
      <c r="B748" s="49"/>
      <c r="C748" s="49"/>
      <c r="D748" s="49"/>
      <c r="E748" s="49"/>
    </row>
    <row r="749" spans="1:5">
      <c r="A749" s="49"/>
      <c r="B749" s="49"/>
      <c r="C749" s="49"/>
      <c r="D749" s="49"/>
      <c r="E749" s="49"/>
    </row>
    <row r="750" spans="1:5">
      <c r="A750" s="49"/>
      <c r="B750" s="49"/>
      <c r="C750" s="49"/>
      <c r="D750" s="49"/>
      <c r="E750" s="49"/>
    </row>
    <row r="751" spans="1:5">
      <c r="A751" s="49"/>
      <c r="B751" s="49"/>
      <c r="C751" s="49"/>
      <c r="D751" s="49"/>
      <c r="E751" s="49"/>
    </row>
    <row r="752" spans="1:5">
      <c r="A752" s="49"/>
      <c r="B752" s="49"/>
      <c r="C752" s="49"/>
      <c r="D752" s="49"/>
      <c r="E752" s="49"/>
    </row>
    <row r="753" spans="1:5">
      <c r="A753" s="49"/>
      <c r="B753" s="49"/>
      <c r="C753" s="49"/>
      <c r="D753" s="49"/>
      <c r="E753" s="49"/>
    </row>
    <row r="754" spans="1:5">
      <c r="A754" s="49"/>
      <c r="B754" s="49"/>
      <c r="C754" s="49"/>
      <c r="D754" s="49"/>
      <c r="E754" s="49"/>
    </row>
    <row r="755" spans="1:5">
      <c r="A755" s="49"/>
      <c r="B755" s="49"/>
      <c r="C755" s="49"/>
      <c r="D755" s="49"/>
      <c r="E755" s="49"/>
    </row>
    <row r="756" spans="1:5">
      <c r="A756" s="49"/>
      <c r="B756" s="49"/>
      <c r="C756" s="49"/>
      <c r="D756" s="49"/>
      <c r="E756" s="49"/>
    </row>
    <row r="757" spans="1:5">
      <c r="A757" s="49"/>
      <c r="B757" s="49"/>
      <c r="C757" s="49"/>
      <c r="D757" s="49"/>
      <c r="E757" s="49"/>
    </row>
    <row r="758" spans="1:5">
      <c r="A758" s="49"/>
      <c r="B758" s="49"/>
      <c r="C758" s="49"/>
      <c r="D758" s="49"/>
      <c r="E758" s="49"/>
    </row>
    <row r="759" spans="1:5">
      <c r="A759" s="49"/>
      <c r="B759" s="49"/>
      <c r="C759" s="49"/>
      <c r="D759" s="49"/>
      <c r="E759" s="49"/>
    </row>
    <row r="760" spans="1:5">
      <c r="A760" s="49"/>
      <c r="B760" s="49"/>
      <c r="C760" s="49"/>
      <c r="D760" s="49"/>
      <c r="E760" s="49"/>
    </row>
    <row r="761" spans="1:5">
      <c r="A761" s="49"/>
      <c r="B761" s="49"/>
      <c r="C761" s="49"/>
      <c r="D761" s="49"/>
      <c r="E761" s="49"/>
    </row>
    <row r="762" spans="1:5">
      <c r="A762" s="49"/>
      <c r="B762" s="49"/>
      <c r="C762" s="49"/>
      <c r="D762" s="49"/>
      <c r="E762" s="49"/>
    </row>
    <row r="763" spans="1:5">
      <c r="A763" s="49"/>
      <c r="B763" s="49"/>
      <c r="C763" s="49"/>
      <c r="D763" s="49"/>
      <c r="E763" s="49"/>
    </row>
    <row r="764" spans="1:5">
      <c r="A764" s="49"/>
      <c r="B764" s="49"/>
      <c r="C764" s="49"/>
      <c r="D764" s="49"/>
      <c r="E764" s="49"/>
    </row>
    <row r="765" spans="1:5">
      <c r="A765" s="49"/>
      <c r="B765" s="49"/>
      <c r="C765" s="49"/>
      <c r="D765" s="49"/>
      <c r="E765" s="49"/>
    </row>
    <row r="766" spans="1:5">
      <c r="A766" s="49"/>
      <c r="B766" s="49"/>
      <c r="C766" s="49"/>
      <c r="D766" s="49"/>
      <c r="E766" s="49"/>
    </row>
    <row r="767" spans="1:5">
      <c r="A767" s="49"/>
      <c r="B767" s="49"/>
      <c r="C767" s="49"/>
      <c r="D767" s="49"/>
      <c r="E767" s="49"/>
    </row>
    <row r="768" spans="1:5">
      <c r="A768" s="49"/>
      <c r="B768" s="49"/>
      <c r="C768" s="49"/>
      <c r="D768" s="49"/>
      <c r="E768" s="49"/>
    </row>
    <row r="769" spans="1:5">
      <c r="A769" s="49"/>
      <c r="B769" s="49"/>
      <c r="C769" s="49"/>
      <c r="D769" s="49"/>
      <c r="E769" s="49"/>
    </row>
    <row r="770" spans="1:5">
      <c r="A770" s="49"/>
      <c r="B770" s="49"/>
      <c r="C770" s="49"/>
      <c r="D770" s="49"/>
      <c r="E770" s="49"/>
    </row>
    <row r="771" spans="1:5">
      <c r="A771" s="49"/>
      <c r="B771" s="49"/>
      <c r="C771" s="49"/>
      <c r="D771" s="49"/>
      <c r="E771" s="49"/>
    </row>
    <row r="772" spans="1:5">
      <c r="A772" s="49"/>
      <c r="B772" s="49"/>
      <c r="C772" s="49"/>
      <c r="D772" s="49"/>
      <c r="E772" s="49"/>
    </row>
    <row r="773" spans="1:5">
      <c r="A773" s="49"/>
      <c r="B773" s="49"/>
      <c r="C773" s="49"/>
      <c r="D773" s="49"/>
      <c r="E773" s="49"/>
    </row>
    <row r="774" spans="1:5">
      <c r="A774" s="49"/>
      <c r="B774" s="49"/>
      <c r="C774" s="49"/>
      <c r="D774" s="49"/>
      <c r="E774" s="49"/>
    </row>
    <row r="775" spans="1:5">
      <c r="A775" s="49"/>
      <c r="B775" s="49"/>
      <c r="C775" s="49"/>
      <c r="D775" s="49"/>
      <c r="E775" s="49"/>
    </row>
    <row r="776" spans="1:5">
      <c r="A776" s="49"/>
      <c r="B776" s="49"/>
      <c r="C776" s="49"/>
      <c r="D776" s="49"/>
      <c r="E776" s="49"/>
    </row>
    <row r="777" spans="1:5">
      <c r="A777" s="49"/>
      <c r="B777" s="49"/>
      <c r="C777" s="49"/>
      <c r="D777" s="49"/>
      <c r="E777" s="49"/>
    </row>
    <row r="778" spans="1:5">
      <c r="A778" s="49"/>
      <c r="B778" s="49"/>
      <c r="C778" s="49"/>
      <c r="D778" s="49"/>
      <c r="E778" s="49"/>
    </row>
    <row r="779" spans="1:5">
      <c r="A779" s="49"/>
      <c r="B779" s="49"/>
      <c r="C779" s="49"/>
      <c r="D779" s="49"/>
      <c r="E779" s="49"/>
    </row>
    <row r="780" spans="1:5">
      <c r="A780" s="49"/>
      <c r="B780" s="49"/>
      <c r="C780" s="49"/>
      <c r="D780" s="49"/>
      <c r="E780" s="49"/>
    </row>
    <row r="781" spans="1:5">
      <c r="A781" s="49"/>
      <c r="B781" s="49"/>
      <c r="C781" s="49"/>
      <c r="D781" s="49"/>
      <c r="E781" s="49"/>
    </row>
    <row r="782" spans="1:5">
      <c r="A782" s="49"/>
      <c r="B782" s="49"/>
      <c r="C782" s="49"/>
      <c r="D782" s="49"/>
      <c r="E782" s="49"/>
    </row>
    <row r="783" spans="1:5">
      <c r="A783" s="49"/>
      <c r="B783" s="49"/>
      <c r="C783" s="49"/>
      <c r="D783" s="49"/>
      <c r="E783" s="49"/>
    </row>
    <row r="784" spans="1:5">
      <c r="A784" s="49"/>
      <c r="B784" s="49"/>
      <c r="C784" s="49"/>
      <c r="D784" s="49"/>
      <c r="E784" s="49"/>
    </row>
    <row r="785" spans="1:5">
      <c r="A785" s="49"/>
      <c r="B785" s="49"/>
      <c r="C785" s="49"/>
      <c r="D785" s="49"/>
      <c r="E785" s="49"/>
    </row>
    <row r="786" spans="1:5">
      <c r="A786" s="49"/>
      <c r="B786" s="49"/>
      <c r="C786" s="49"/>
      <c r="D786" s="49"/>
      <c r="E786" s="49"/>
    </row>
    <row r="787" spans="1:5">
      <c r="A787" s="49"/>
      <c r="B787" s="49"/>
      <c r="C787" s="49"/>
      <c r="D787" s="49"/>
      <c r="E787" s="49"/>
    </row>
    <row r="788" spans="1:5">
      <c r="A788" s="49"/>
      <c r="B788" s="49"/>
      <c r="C788" s="49"/>
      <c r="D788" s="49"/>
      <c r="E788" s="49"/>
    </row>
    <row r="789" spans="1:5">
      <c r="A789" s="49"/>
      <c r="B789" s="49"/>
      <c r="C789" s="49"/>
      <c r="D789" s="49"/>
      <c r="E789" s="49"/>
    </row>
    <row r="790" spans="1:5">
      <c r="A790" s="49"/>
      <c r="B790" s="49"/>
      <c r="C790" s="49"/>
      <c r="D790" s="49"/>
      <c r="E790" s="49"/>
    </row>
    <row r="791" spans="1:5">
      <c r="A791" s="49"/>
      <c r="B791" s="49"/>
      <c r="C791" s="49"/>
      <c r="D791" s="49"/>
      <c r="E791" s="49"/>
    </row>
    <row r="792" spans="1:5">
      <c r="A792" s="49"/>
      <c r="B792" s="49"/>
      <c r="C792" s="49"/>
      <c r="D792" s="49"/>
      <c r="E792" s="49"/>
    </row>
    <row r="793" spans="1:5">
      <c r="A793" s="49"/>
      <c r="B793" s="49"/>
      <c r="C793" s="49"/>
      <c r="D793" s="49"/>
      <c r="E793" s="49"/>
    </row>
    <row r="794" spans="1:5">
      <c r="A794" s="49"/>
      <c r="B794" s="49"/>
      <c r="C794" s="49"/>
      <c r="D794" s="49"/>
      <c r="E794" s="49"/>
    </row>
    <row r="795" spans="1:5">
      <c r="A795" s="49"/>
      <c r="B795" s="49"/>
      <c r="C795" s="49"/>
      <c r="D795" s="49"/>
      <c r="E795" s="49"/>
    </row>
    <row r="796" spans="1:5">
      <c r="A796" s="49"/>
      <c r="B796" s="49"/>
      <c r="C796" s="49"/>
      <c r="D796" s="49"/>
      <c r="E796" s="49"/>
    </row>
    <row r="797" spans="1:5">
      <c r="A797" s="49"/>
      <c r="B797" s="49"/>
      <c r="C797" s="49"/>
      <c r="D797" s="49"/>
      <c r="E797" s="49"/>
    </row>
    <row r="798" spans="1:5">
      <c r="A798" s="49"/>
      <c r="B798" s="49"/>
      <c r="C798" s="49"/>
      <c r="D798" s="49"/>
      <c r="E798" s="49"/>
    </row>
    <row r="799" spans="1:5">
      <c r="A799" s="49"/>
      <c r="B799" s="49"/>
      <c r="C799" s="49"/>
      <c r="D799" s="49"/>
      <c r="E799" s="49"/>
    </row>
    <row r="800" spans="1:5">
      <c r="A800" s="49"/>
      <c r="B800" s="49"/>
      <c r="C800" s="49"/>
      <c r="D800" s="49"/>
      <c r="E800" s="49"/>
    </row>
    <row r="801" spans="1:5">
      <c r="A801" s="49"/>
      <c r="B801" s="49"/>
      <c r="C801" s="49"/>
      <c r="D801" s="49"/>
      <c r="E801" s="49"/>
    </row>
    <row r="802" spans="1:5">
      <c r="A802" s="49"/>
      <c r="B802" s="49"/>
      <c r="C802" s="49"/>
      <c r="D802" s="49"/>
      <c r="E802" s="49"/>
    </row>
    <row r="803" spans="1:5">
      <c r="A803" s="49"/>
      <c r="B803" s="49"/>
      <c r="C803" s="49"/>
      <c r="D803" s="49"/>
      <c r="E803" s="49"/>
    </row>
    <row r="804" spans="1:5">
      <c r="A804" s="49"/>
      <c r="B804" s="49"/>
      <c r="C804" s="49"/>
      <c r="D804" s="49"/>
      <c r="E804" s="49"/>
    </row>
    <row r="805" spans="1:5">
      <c r="A805" s="49"/>
      <c r="B805" s="49"/>
      <c r="C805" s="49"/>
      <c r="D805" s="49"/>
      <c r="E805" s="49"/>
    </row>
    <row r="806" spans="1:5">
      <c r="A806" s="49"/>
      <c r="B806" s="49"/>
      <c r="C806" s="49"/>
      <c r="D806" s="49"/>
      <c r="E806" s="49"/>
    </row>
    <row r="807" spans="1:5">
      <c r="A807" s="49"/>
      <c r="B807" s="49"/>
      <c r="C807" s="49"/>
      <c r="D807" s="49"/>
      <c r="E807" s="49"/>
    </row>
    <row r="808" spans="1:5">
      <c r="A808" s="49"/>
      <c r="B808" s="49"/>
      <c r="C808" s="49"/>
      <c r="D808" s="49"/>
      <c r="E808" s="49"/>
    </row>
    <row r="809" spans="1:5">
      <c r="A809" s="49"/>
      <c r="B809" s="49"/>
      <c r="C809" s="49"/>
      <c r="D809" s="49"/>
      <c r="E809" s="49"/>
    </row>
    <row r="810" spans="1:5">
      <c r="A810" s="49"/>
      <c r="B810" s="49"/>
      <c r="C810" s="49"/>
      <c r="D810" s="49"/>
      <c r="E810" s="49"/>
    </row>
    <row r="811" spans="1:5">
      <c r="A811" s="49"/>
      <c r="B811" s="49"/>
      <c r="C811" s="49"/>
      <c r="D811" s="49"/>
      <c r="E811" s="49"/>
    </row>
    <row r="812" spans="1:5">
      <c r="A812" s="49"/>
      <c r="B812" s="49"/>
      <c r="C812" s="49"/>
      <c r="D812" s="49"/>
      <c r="E812" s="49"/>
    </row>
    <row r="813" spans="1:5">
      <c r="A813" s="49"/>
      <c r="B813" s="49"/>
      <c r="C813" s="49"/>
      <c r="D813" s="49"/>
      <c r="E813" s="49"/>
    </row>
    <row r="814" spans="1:5">
      <c r="A814" s="49"/>
      <c r="B814" s="49"/>
      <c r="C814" s="49"/>
      <c r="D814" s="49"/>
      <c r="E814" s="49"/>
    </row>
    <row r="815" spans="1:5">
      <c r="A815" s="49"/>
      <c r="B815" s="49"/>
      <c r="C815" s="49"/>
      <c r="D815" s="49"/>
      <c r="E815" s="49"/>
    </row>
    <row r="816" spans="1:5">
      <c r="A816" s="49"/>
      <c r="B816" s="49"/>
      <c r="C816" s="49"/>
      <c r="D816" s="49"/>
      <c r="E816" s="49"/>
    </row>
    <row r="817" spans="1:5">
      <c r="A817" s="49"/>
      <c r="B817" s="49"/>
      <c r="C817" s="49"/>
      <c r="D817" s="49"/>
      <c r="E817" s="49"/>
    </row>
    <row r="818" spans="1:5">
      <c r="A818" s="49"/>
      <c r="B818" s="49"/>
      <c r="C818" s="49"/>
      <c r="D818" s="49"/>
      <c r="E818" s="49"/>
    </row>
    <row r="819" spans="1:5">
      <c r="A819" s="49"/>
      <c r="B819" s="49"/>
      <c r="C819" s="49"/>
      <c r="D819" s="49"/>
      <c r="E819" s="49"/>
    </row>
    <row r="820" spans="1:5">
      <c r="A820" s="49"/>
      <c r="B820" s="49"/>
      <c r="C820" s="49"/>
      <c r="D820" s="49"/>
      <c r="E820" s="49"/>
    </row>
    <row r="821" spans="1:5">
      <c r="A821" s="49"/>
      <c r="B821" s="49"/>
      <c r="C821" s="49"/>
      <c r="D821" s="49"/>
      <c r="E821" s="49"/>
    </row>
    <row r="822" spans="1:5">
      <c r="A822" s="49"/>
      <c r="B822" s="49"/>
      <c r="C822" s="49"/>
      <c r="D822" s="49"/>
      <c r="E822" s="49"/>
    </row>
    <row r="823" spans="1:5">
      <c r="A823" s="49"/>
      <c r="B823" s="49"/>
      <c r="C823" s="49"/>
      <c r="D823" s="49"/>
      <c r="E823" s="49"/>
    </row>
    <row r="824" spans="1:5">
      <c r="A824" s="49"/>
      <c r="B824" s="49"/>
      <c r="C824" s="49"/>
      <c r="D824" s="49"/>
      <c r="E824" s="49"/>
    </row>
    <row r="825" spans="1:5">
      <c r="A825" s="49"/>
      <c r="B825" s="49"/>
      <c r="C825" s="49"/>
      <c r="D825" s="49"/>
      <c r="E825" s="49"/>
    </row>
    <row r="826" spans="1:5">
      <c r="A826" s="49"/>
      <c r="B826" s="49"/>
      <c r="C826" s="49"/>
      <c r="D826" s="49"/>
      <c r="E826" s="49"/>
    </row>
    <row r="827" spans="1:5">
      <c r="A827" s="49"/>
      <c r="B827" s="49"/>
      <c r="C827" s="49"/>
      <c r="D827" s="49"/>
      <c r="E827" s="49"/>
    </row>
    <row r="828" spans="1:5">
      <c r="A828" s="49"/>
      <c r="B828" s="49"/>
      <c r="C828" s="49"/>
      <c r="D828" s="49"/>
      <c r="E828" s="49"/>
    </row>
    <row r="829" spans="1:5">
      <c r="A829" s="49"/>
      <c r="B829" s="49"/>
      <c r="C829" s="49"/>
      <c r="D829" s="49"/>
      <c r="E829" s="49"/>
    </row>
    <row r="830" spans="1:5">
      <c r="A830" s="49"/>
      <c r="B830" s="49"/>
      <c r="C830" s="49"/>
      <c r="D830" s="49"/>
      <c r="E830" s="49"/>
    </row>
    <row r="831" spans="1:5">
      <c r="A831" s="49"/>
      <c r="B831" s="49"/>
      <c r="C831" s="49"/>
      <c r="D831" s="49"/>
      <c r="E831" s="49"/>
    </row>
    <row r="832" spans="1:5">
      <c r="A832" s="49"/>
      <c r="B832" s="49"/>
      <c r="C832" s="49"/>
      <c r="D832" s="49"/>
      <c r="E832" s="49"/>
    </row>
    <row r="833" spans="1:5">
      <c r="A833" s="49"/>
      <c r="B833" s="49"/>
      <c r="C833" s="49"/>
      <c r="D833" s="49"/>
      <c r="E833" s="49"/>
    </row>
    <row r="834" spans="1:5">
      <c r="A834" s="49"/>
      <c r="B834" s="49"/>
      <c r="C834" s="49"/>
      <c r="D834" s="49"/>
      <c r="E834" s="49"/>
    </row>
    <row r="835" spans="1:5">
      <c r="A835" s="49"/>
      <c r="B835" s="49"/>
      <c r="C835" s="49"/>
      <c r="D835" s="49"/>
      <c r="E835" s="49"/>
    </row>
    <row r="836" spans="1:5">
      <c r="A836" s="49"/>
      <c r="B836" s="49"/>
      <c r="C836" s="49"/>
      <c r="D836" s="49"/>
      <c r="E836" s="49"/>
    </row>
    <row r="837" spans="1:5">
      <c r="A837" s="49"/>
      <c r="B837" s="49"/>
      <c r="C837" s="49"/>
      <c r="D837" s="49"/>
      <c r="E837" s="49"/>
    </row>
    <row r="838" spans="1:5">
      <c r="A838" s="49"/>
      <c r="B838" s="49"/>
      <c r="C838" s="49"/>
      <c r="D838" s="49"/>
      <c r="E838" s="49"/>
    </row>
    <row r="839" spans="1:5">
      <c r="A839" s="49"/>
      <c r="B839" s="49"/>
      <c r="C839" s="49"/>
      <c r="D839" s="49"/>
      <c r="E839" s="49"/>
    </row>
    <row r="840" spans="1:5">
      <c r="A840" s="49"/>
      <c r="B840" s="49"/>
      <c r="C840" s="49"/>
      <c r="D840" s="49"/>
      <c r="E840" s="49"/>
    </row>
    <row r="841" spans="1:5">
      <c r="A841" s="49"/>
      <c r="B841" s="49"/>
      <c r="C841" s="49"/>
      <c r="D841" s="49"/>
      <c r="E841" s="49"/>
    </row>
    <row r="842" spans="1:5">
      <c r="A842" s="49"/>
      <c r="B842" s="49"/>
      <c r="C842" s="49"/>
      <c r="D842" s="49"/>
      <c r="E842" s="49"/>
    </row>
    <row r="843" spans="1:5">
      <c r="A843" s="49"/>
      <c r="B843" s="49"/>
      <c r="C843" s="49"/>
      <c r="D843" s="49"/>
      <c r="E843" s="49"/>
    </row>
    <row r="844" spans="1:5">
      <c r="A844" s="49"/>
      <c r="B844" s="49"/>
      <c r="C844" s="49"/>
      <c r="D844" s="49"/>
      <c r="E844" s="49"/>
    </row>
    <row r="845" spans="1:5">
      <c r="A845" s="49"/>
      <c r="B845" s="49"/>
      <c r="C845" s="49"/>
      <c r="D845" s="49"/>
      <c r="E845" s="49"/>
    </row>
    <row r="846" spans="1:5">
      <c r="A846" s="49"/>
      <c r="B846" s="49"/>
      <c r="C846" s="49"/>
      <c r="D846" s="49"/>
      <c r="E846" s="49"/>
    </row>
    <row r="847" spans="1:5">
      <c r="A847" s="49"/>
      <c r="B847" s="49"/>
      <c r="C847" s="49"/>
      <c r="D847" s="49"/>
      <c r="E847" s="49"/>
    </row>
    <row r="848" spans="1:5">
      <c r="A848" s="49"/>
      <c r="B848" s="49"/>
      <c r="C848" s="49"/>
      <c r="D848" s="49"/>
      <c r="E848" s="49"/>
    </row>
    <row r="849" spans="1:5">
      <c r="A849" s="49"/>
      <c r="B849" s="49"/>
      <c r="C849" s="49"/>
      <c r="D849" s="49"/>
      <c r="E849" s="49"/>
    </row>
    <row r="850" spans="1:5">
      <c r="A850" s="49"/>
      <c r="B850" s="49"/>
      <c r="C850" s="49"/>
      <c r="D850" s="49"/>
      <c r="E850" s="49"/>
    </row>
    <row r="851" spans="1:5">
      <c r="A851" s="49"/>
      <c r="B851" s="49"/>
      <c r="C851" s="49"/>
      <c r="D851" s="49"/>
      <c r="E851" s="49"/>
    </row>
    <row r="852" spans="1:5">
      <c r="A852" s="49"/>
      <c r="B852" s="49"/>
      <c r="C852" s="49"/>
      <c r="D852" s="49"/>
      <c r="E852" s="49"/>
    </row>
    <row r="853" spans="1:5">
      <c r="A853" s="49"/>
      <c r="B853" s="49"/>
      <c r="C853" s="49"/>
      <c r="D853" s="49"/>
      <c r="E853" s="49"/>
    </row>
    <row r="854" spans="1:5">
      <c r="A854" s="49"/>
      <c r="B854" s="49"/>
      <c r="C854" s="49"/>
      <c r="D854" s="49"/>
      <c r="E854" s="49"/>
    </row>
    <row r="855" spans="1:5">
      <c r="A855" s="49"/>
      <c r="B855" s="49"/>
      <c r="C855" s="49"/>
      <c r="D855" s="49"/>
      <c r="E855" s="49"/>
    </row>
    <row r="856" spans="1:5">
      <c r="A856" s="49"/>
      <c r="B856" s="49"/>
      <c r="C856" s="49"/>
      <c r="D856" s="49"/>
      <c r="E856" s="49"/>
    </row>
    <row r="857" spans="1:5">
      <c r="A857" s="49"/>
      <c r="B857" s="49"/>
      <c r="C857" s="49"/>
      <c r="D857" s="49"/>
      <c r="E857" s="49"/>
    </row>
    <row r="858" spans="1:5">
      <c r="A858" s="49"/>
      <c r="B858" s="49"/>
      <c r="C858" s="49"/>
      <c r="D858" s="49"/>
      <c r="E858" s="49"/>
    </row>
    <row r="859" spans="1:5">
      <c r="A859" s="49"/>
      <c r="B859" s="49"/>
      <c r="C859" s="49"/>
      <c r="D859" s="49"/>
      <c r="E859" s="49"/>
    </row>
    <row r="860" spans="1:5">
      <c r="A860" s="49"/>
      <c r="B860" s="49"/>
      <c r="C860" s="49"/>
      <c r="D860" s="49"/>
      <c r="E860" s="49"/>
    </row>
    <row r="861" spans="1:5">
      <c r="A861" s="49"/>
      <c r="B861" s="49"/>
      <c r="C861" s="49"/>
      <c r="D861" s="49"/>
      <c r="E861" s="49"/>
    </row>
    <row r="862" spans="1:5">
      <c r="A862" s="49"/>
      <c r="B862" s="49"/>
      <c r="C862" s="49"/>
      <c r="D862" s="49"/>
      <c r="E862" s="49"/>
    </row>
    <row r="863" spans="1:5">
      <c r="A863" s="49"/>
      <c r="B863" s="49"/>
      <c r="C863" s="49"/>
      <c r="D863" s="49"/>
      <c r="E863" s="49"/>
    </row>
    <row r="864" spans="1:5">
      <c r="A864" s="49"/>
      <c r="B864" s="49"/>
      <c r="C864" s="49"/>
      <c r="D864" s="49"/>
      <c r="E864" s="49"/>
    </row>
    <row r="865" spans="1:5">
      <c r="A865" s="49"/>
      <c r="B865" s="49"/>
      <c r="C865" s="49"/>
      <c r="D865" s="49"/>
      <c r="E865" s="49"/>
    </row>
    <row r="866" spans="1:5">
      <c r="A866" s="49"/>
      <c r="B866" s="49"/>
      <c r="C866" s="49"/>
      <c r="D866" s="49"/>
      <c r="E866" s="49"/>
    </row>
    <row r="867" spans="1:5">
      <c r="A867" s="49"/>
      <c r="B867" s="49"/>
      <c r="C867" s="49"/>
      <c r="D867" s="49"/>
      <c r="E867" s="49"/>
    </row>
    <row r="868" spans="1:5">
      <c r="A868" s="49"/>
      <c r="B868" s="49"/>
      <c r="C868" s="49"/>
      <c r="D868" s="49"/>
      <c r="E868" s="49"/>
    </row>
    <row r="869" spans="1:5">
      <c r="A869" s="49"/>
      <c r="B869" s="49"/>
      <c r="C869" s="49"/>
      <c r="D869" s="49"/>
      <c r="E869" s="49"/>
    </row>
    <row r="870" spans="1:5">
      <c r="A870" s="49"/>
      <c r="B870" s="49"/>
      <c r="C870" s="49"/>
      <c r="D870" s="49"/>
      <c r="E870" s="49"/>
    </row>
    <row r="871" spans="1:5">
      <c r="A871" s="49"/>
      <c r="B871" s="49"/>
      <c r="C871" s="49"/>
      <c r="D871" s="49"/>
      <c r="E871" s="49"/>
    </row>
    <row r="872" spans="1:5">
      <c r="A872" s="49"/>
      <c r="B872" s="49"/>
      <c r="C872" s="49"/>
      <c r="D872" s="49"/>
      <c r="E872" s="49"/>
    </row>
    <row r="873" spans="1:5">
      <c r="A873" s="49"/>
      <c r="B873" s="49"/>
      <c r="C873" s="49"/>
      <c r="D873" s="49"/>
      <c r="E873" s="49"/>
    </row>
    <row r="874" spans="1:5">
      <c r="A874" s="49"/>
      <c r="B874" s="49"/>
      <c r="C874" s="49"/>
      <c r="D874" s="49"/>
      <c r="E874" s="49"/>
    </row>
    <row r="875" spans="1:5">
      <c r="A875" s="49"/>
      <c r="B875" s="49"/>
      <c r="C875" s="49"/>
      <c r="D875" s="49"/>
      <c r="E875" s="49"/>
    </row>
    <row r="876" spans="1:5">
      <c r="A876" s="49"/>
      <c r="B876" s="49"/>
      <c r="C876" s="49"/>
      <c r="D876" s="49"/>
      <c r="E876" s="49"/>
    </row>
    <row r="877" spans="1:5">
      <c r="A877" s="49"/>
      <c r="B877" s="49"/>
      <c r="C877" s="49"/>
      <c r="D877" s="49"/>
      <c r="E877" s="49"/>
    </row>
    <row r="878" spans="1:5">
      <c r="A878" s="49"/>
      <c r="B878" s="49"/>
      <c r="C878" s="49"/>
      <c r="D878" s="49"/>
      <c r="E878" s="49"/>
    </row>
    <row r="879" spans="1:5">
      <c r="A879" s="49"/>
      <c r="B879" s="49"/>
      <c r="C879" s="49"/>
      <c r="D879" s="49"/>
      <c r="E879" s="49"/>
    </row>
    <row r="880" spans="1:5">
      <c r="A880" s="49"/>
      <c r="B880" s="49"/>
      <c r="C880" s="49"/>
      <c r="D880" s="49"/>
      <c r="E880" s="49"/>
    </row>
    <row r="881" spans="1:5">
      <c r="A881" s="49"/>
      <c r="B881" s="49"/>
      <c r="C881" s="49"/>
      <c r="D881" s="49"/>
      <c r="E881" s="49"/>
    </row>
    <row r="882" spans="1:5">
      <c r="A882" s="49"/>
      <c r="B882" s="49"/>
      <c r="C882" s="49"/>
      <c r="D882" s="49"/>
      <c r="E882" s="49"/>
    </row>
    <row r="883" spans="1:5">
      <c r="A883" s="49"/>
      <c r="B883" s="49"/>
      <c r="C883" s="49"/>
      <c r="D883" s="49"/>
      <c r="E883" s="49"/>
    </row>
    <row r="884" spans="1:5">
      <c r="A884" s="49"/>
      <c r="B884" s="49"/>
      <c r="C884" s="49"/>
      <c r="D884" s="49"/>
      <c r="E884" s="49"/>
    </row>
    <row r="885" spans="1:5">
      <c r="A885" s="49"/>
      <c r="B885" s="49"/>
      <c r="C885" s="49"/>
      <c r="D885" s="49"/>
      <c r="E885" s="49"/>
    </row>
    <row r="886" spans="1:5">
      <c r="A886" s="49"/>
      <c r="B886" s="49"/>
      <c r="C886" s="49"/>
      <c r="D886" s="49"/>
      <c r="E886" s="49"/>
    </row>
    <row r="887" spans="1:5">
      <c r="A887" s="49"/>
      <c r="B887" s="49"/>
      <c r="C887" s="49"/>
      <c r="D887" s="49"/>
      <c r="E887" s="49"/>
    </row>
    <row r="888" spans="1:5">
      <c r="A888" s="49"/>
      <c r="B888" s="49"/>
      <c r="C888" s="49"/>
      <c r="D888" s="49"/>
      <c r="E888" s="49"/>
    </row>
    <row r="889" spans="1:5">
      <c r="A889" s="49"/>
      <c r="B889" s="49"/>
      <c r="C889" s="49"/>
      <c r="D889" s="49"/>
      <c r="E889" s="49"/>
    </row>
    <row r="890" spans="1:5">
      <c r="A890" s="49"/>
      <c r="B890" s="49"/>
      <c r="C890" s="49"/>
      <c r="D890" s="49"/>
      <c r="E890" s="49"/>
    </row>
    <row r="891" spans="1:5">
      <c r="A891" s="49"/>
      <c r="B891" s="49"/>
      <c r="C891" s="49"/>
      <c r="D891" s="49"/>
      <c r="E891" s="49"/>
    </row>
    <row r="892" spans="1:5">
      <c r="A892" s="49"/>
      <c r="B892" s="49"/>
      <c r="C892" s="49"/>
      <c r="D892" s="49"/>
      <c r="E892" s="49"/>
    </row>
    <row r="893" spans="1:5">
      <c r="A893" s="49"/>
      <c r="B893" s="49"/>
      <c r="C893" s="49"/>
      <c r="D893" s="49"/>
      <c r="E893" s="49"/>
    </row>
    <row r="894" spans="1:5">
      <c r="A894" s="49"/>
      <c r="B894" s="49"/>
      <c r="C894" s="49"/>
      <c r="D894" s="49"/>
      <c r="E894" s="49"/>
    </row>
    <row r="895" spans="1:5">
      <c r="A895" s="49"/>
      <c r="B895" s="49"/>
      <c r="C895" s="49"/>
      <c r="D895" s="49"/>
      <c r="E895" s="49"/>
    </row>
    <row r="896" spans="1:5">
      <c r="A896" s="49"/>
      <c r="B896" s="49"/>
      <c r="C896" s="49"/>
      <c r="D896" s="49"/>
      <c r="E896" s="49"/>
    </row>
    <row r="897" spans="1:5">
      <c r="A897" s="49"/>
      <c r="B897" s="49"/>
      <c r="C897" s="49"/>
      <c r="D897" s="49"/>
      <c r="E897" s="49"/>
    </row>
    <row r="898" spans="1:5">
      <c r="A898" s="49"/>
      <c r="B898" s="49"/>
      <c r="C898" s="49"/>
      <c r="D898" s="49"/>
      <c r="E898" s="49"/>
    </row>
    <row r="899" spans="1:5">
      <c r="A899" s="49"/>
      <c r="B899" s="49"/>
      <c r="C899" s="49"/>
      <c r="D899" s="49"/>
      <c r="E899" s="49"/>
    </row>
    <row r="900" spans="1:5">
      <c r="A900" s="49"/>
      <c r="B900" s="49"/>
      <c r="C900" s="49"/>
      <c r="D900" s="49"/>
      <c r="E900" s="49"/>
    </row>
    <row r="901" spans="1:5">
      <c r="A901" s="49"/>
      <c r="B901" s="49"/>
      <c r="C901" s="49"/>
      <c r="D901" s="49"/>
      <c r="E901" s="49"/>
    </row>
    <row r="902" spans="1:5">
      <c r="A902" s="49"/>
      <c r="B902" s="49"/>
      <c r="C902" s="49"/>
      <c r="D902" s="49"/>
      <c r="E902" s="49"/>
    </row>
    <row r="903" spans="1:5">
      <c r="A903" s="49"/>
      <c r="B903" s="49"/>
      <c r="C903" s="49"/>
      <c r="D903" s="49"/>
      <c r="E903" s="49"/>
    </row>
    <row r="904" spans="1:5">
      <c r="A904" s="49"/>
      <c r="B904" s="49"/>
      <c r="C904" s="49"/>
      <c r="D904" s="49"/>
      <c r="E904" s="49"/>
    </row>
    <row r="905" spans="1:5">
      <c r="A905" s="49"/>
      <c r="B905" s="49"/>
      <c r="C905" s="49"/>
      <c r="D905" s="49"/>
      <c r="E905" s="49"/>
    </row>
    <row r="906" spans="1:5">
      <c r="A906" s="49"/>
      <c r="B906" s="49"/>
      <c r="C906" s="49"/>
      <c r="D906" s="49"/>
      <c r="E906" s="49"/>
    </row>
    <row r="907" spans="1:5">
      <c r="A907" s="49"/>
      <c r="B907" s="49"/>
      <c r="C907" s="49"/>
      <c r="D907" s="49"/>
      <c r="E907" s="49"/>
    </row>
    <row r="908" spans="1:5">
      <c r="A908" s="49"/>
      <c r="B908" s="49"/>
      <c r="C908" s="49"/>
      <c r="D908" s="49"/>
      <c r="E908" s="49"/>
    </row>
    <row r="909" spans="1:5">
      <c r="A909" s="49"/>
      <c r="B909" s="49"/>
      <c r="C909" s="49"/>
      <c r="D909" s="49"/>
      <c r="E909" s="49"/>
    </row>
    <row r="910" spans="1:5">
      <c r="A910" s="49"/>
      <c r="B910" s="49"/>
      <c r="C910" s="49"/>
      <c r="D910" s="49"/>
      <c r="E910" s="49"/>
    </row>
    <row r="911" spans="1:5">
      <c r="A911" s="49"/>
      <c r="B911" s="49"/>
      <c r="C911" s="49"/>
      <c r="D911" s="49"/>
      <c r="E911" s="49"/>
    </row>
    <row r="912" spans="1:5">
      <c r="A912" s="49"/>
      <c r="B912" s="49"/>
      <c r="C912" s="49"/>
      <c r="D912" s="49"/>
      <c r="E912" s="49"/>
    </row>
    <row r="913" spans="1:5">
      <c r="A913" s="49"/>
      <c r="B913" s="49"/>
      <c r="C913" s="49"/>
      <c r="D913" s="49"/>
      <c r="E913" s="49"/>
    </row>
    <row r="914" spans="1:5">
      <c r="A914" s="49"/>
      <c r="B914" s="49"/>
      <c r="C914" s="49"/>
      <c r="D914" s="49"/>
      <c r="E914" s="49"/>
    </row>
    <row r="915" spans="1:5">
      <c r="A915" s="49"/>
      <c r="B915" s="49"/>
      <c r="C915" s="49"/>
      <c r="D915" s="49"/>
      <c r="E915" s="49"/>
    </row>
    <row r="916" spans="1:5">
      <c r="A916" s="49"/>
      <c r="B916" s="49"/>
      <c r="C916" s="49"/>
      <c r="D916" s="49"/>
      <c r="E916" s="49"/>
    </row>
    <row r="917" spans="1:5">
      <c r="A917" s="49"/>
      <c r="B917" s="49"/>
      <c r="C917" s="49"/>
      <c r="D917" s="49"/>
      <c r="E917" s="49"/>
    </row>
    <row r="918" spans="1:5">
      <c r="A918" s="49"/>
      <c r="B918" s="49"/>
      <c r="C918" s="49"/>
      <c r="D918" s="49"/>
      <c r="E918" s="49"/>
    </row>
    <row r="919" spans="1:5">
      <c r="A919" s="49"/>
      <c r="B919" s="49"/>
      <c r="C919" s="49"/>
      <c r="D919" s="49"/>
      <c r="E919" s="49"/>
    </row>
    <row r="920" spans="1:5">
      <c r="A920" s="49"/>
      <c r="B920" s="49"/>
      <c r="C920" s="49"/>
      <c r="D920" s="49"/>
      <c r="E920" s="49"/>
    </row>
    <row r="921" spans="1:5">
      <c r="A921" s="49"/>
      <c r="B921" s="49"/>
      <c r="C921" s="49"/>
      <c r="D921" s="49"/>
      <c r="E921" s="49"/>
    </row>
    <row r="922" spans="1:5">
      <c r="A922" s="49"/>
      <c r="B922" s="49"/>
      <c r="C922" s="49"/>
      <c r="D922" s="49"/>
      <c r="E922" s="49"/>
    </row>
    <row r="923" spans="1:5">
      <c r="A923" s="49"/>
      <c r="B923" s="49"/>
      <c r="C923" s="49"/>
      <c r="D923" s="49"/>
      <c r="E923" s="49"/>
    </row>
    <row r="924" spans="1:5">
      <c r="A924" s="49"/>
      <c r="B924" s="49"/>
      <c r="C924" s="49"/>
      <c r="D924" s="49"/>
      <c r="E924" s="49"/>
    </row>
    <row r="925" spans="1:5">
      <c r="A925" s="49"/>
      <c r="B925" s="49"/>
      <c r="C925" s="49"/>
      <c r="D925" s="49"/>
      <c r="E925" s="49"/>
    </row>
    <row r="926" spans="1:5">
      <c r="A926" s="49"/>
      <c r="B926" s="49"/>
      <c r="C926" s="49"/>
      <c r="D926" s="49"/>
      <c r="E926" s="49"/>
    </row>
    <row r="927" spans="1:5">
      <c r="A927" s="49"/>
      <c r="B927" s="49"/>
      <c r="C927" s="49"/>
      <c r="D927" s="49"/>
      <c r="E927" s="49"/>
    </row>
    <row r="928" spans="1:5">
      <c r="A928" s="49"/>
      <c r="B928" s="49"/>
      <c r="C928" s="49"/>
      <c r="D928" s="49"/>
      <c r="E928" s="49"/>
    </row>
    <row r="929" spans="1:5">
      <c r="A929" s="49"/>
      <c r="B929" s="49"/>
      <c r="C929" s="49"/>
      <c r="D929" s="49"/>
      <c r="E929" s="49"/>
    </row>
    <row r="930" spans="1:5">
      <c r="A930" s="49"/>
      <c r="B930" s="49"/>
      <c r="C930" s="49"/>
      <c r="D930" s="49"/>
      <c r="E930" s="49"/>
    </row>
    <row r="931" spans="1:5">
      <c r="A931" s="49"/>
      <c r="B931" s="49"/>
      <c r="C931" s="49"/>
      <c r="D931" s="49"/>
      <c r="E931" s="49"/>
    </row>
    <row r="932" spans="1:5">
      <c r="A932" s="49"/>
      <c r="B932" s="49"/>
      <c r="C932" s="49"/>
      <c r="D932" s="49"/>
      <c r="E932" s="49"/>
    </row>
    <row r="933" spans="1:5">
      <c r="A933" s="49"/>
      <c r="B933" s="49"/>
      <c r="C933" s="49"/>
      <c r="D933" s="49"/>
      <c r="E933" s="49"/>
    </row>
    <row r="934" spans="1:5">
      <c r="A934" s="49"/>
      <c r="B934" s="49"/>
      <c r="C934" s="49"/>
      <c r="D934" s="49"/>
      <c r="E934" s="49"/>
    </row>
    <row r="935" spans="1:5">
      <c r="A935" s="49"/>
      <c r="B935" s="49"/>
      <c r="C935" s="49"/>
      <c r="D935" s="49"/>
      <c r="E935" s="49"/>
    </row>
    <row r="936" spans="1:5">
      <c r="A936" s="49"/>
      <c r="B936" s="49"/>
      <c r="C936" s="49"/>
      <c r="D936" s="49"/>
      <c r="E936" s="49"/>
    </row>
    <row r="937" spans="1:5">
      <c r="A937" s="49"/>
      <c r="B937" s="49"/>
      <c r="C937" s="49"/>
      <c r="D937" s="49"/>
      <c r="E937" s="49"/>
    </row>
    <row r="938" spans="1:5">
      <c r="A938" s="49"/>
      <c r="B938" s="49"/>
      <c r="C938" s="49"/>
      <c r="D938" s="49"/>
      <c r="E938" s="49"/>
    </row>
    <row r="939" spans="1:5">
      <c r="A939" s="49"/>
      <c r="B939" s="49"/>
      <c r="C939" s="49"/>
      <c r="D939" s="49"/>
      <c r="E939" s="49"/>
    </row>
    <row r="940" spans="1:5">
      <c r="A940" s="49"/>
      <c r="B940" s="49"/>
      <c r="C940" s="49"/>
      <c r="D940" s="49"/>
      <c r="E940" s="49"/>
    </row>
    <row r="941" spans="1:5">
      <c r="A941" s="49"/>
      <c r="B941" s="49"/>
      <c r="C941" s="49"/>
      <c r="D941" s="49"/>
      <c r="E941" s="49"/>
    </row>
    <row r="942" spans="1:5">
      <c r="A942" s="49"/>
      <c r="B942" s="49"/>
      <c r="C942" s="49"/>
      <c r="D942" s="49"/>
      <c r="E942" s="49"/>
    </row>
    <row r="943" spans="1:5">
      <c r="A943" s="49"/>
      <c r="B943" s="49"/>
      <c r="C943" s="49"/>
      <c r="D943" s="49"/>
      <c r="E943" s="49"/>
    </row>
    <row r="944" spans="1:5">
      <c r="A944" s="49"/>
      <c r="B944" s="49"/>
      <c r="C944" s="49"/>
      <c r="D944" s="49"/>
      <c r="E944" s="49"/>
    </row>
    <row r="945" spans="1:5">
      <c r="A945" s="49"/>
      <c r="B945" s="49"/>
      <c r="C945" s="49"/>
      <c r="D945" s="49"/>
      <c r="E945" s="49"/>
    </row>
    <row r="946" spans="1:5">
      <c r="A946" s="49"/>
      <c r="B946" s="49"/>
      <c r="C946" s="49"/>
      <c r="D946" s="49"/>
      <c r="E946" s="49"/>
    </row>
    <row r="947" spans="1:5">
      <c r="A947" s="49"/>
      <c r="B947" s="49"/>
      <c r="C947" s="49"/>
      <c r="D947" s="49"/>
      <c r="E947" s="49"/>
    </row>
    <row r="948" spans="1:5">
      <c r="A948" s="49"/>
      <c r="B948" s="49"/>
      <c r="C948" s="49"/>
      <c r="D948" s="49"/>
      <c r="E948" s="49"/>
    </row>
    <row r="949" spans="1:5">
      <c r="A949" s="49"/>
      <c r="B949" s="49"/>
      <c r="C949" s="49"/>
      <c r="D949" s="49"/>
      <c r="E949" s="49"/>
    </row>
    <row r="950" spans="1:5">
      <c r="A950" s="49"/>
      <c r="B950" s="49"/>
      <c r="C950" s="49"/>
      <c r="D950" s="49"/>
      <c r="E950" s="49"/>
    </row>
    <row r="951" spans="1:5">
      <c r="A951" s="49"/>
      <c r="B951" s="49"/>
      <c r="C951" s="49"/>
      <c r="D951" s="49"/>
      <c r="E951" s="49"/>
    </row>
    <row r="952" spans="1:5">
      <c r="A952" s="49"/>
      <c r="B952" s="49"/>
      <c r="C952" s="49"/>
      <c r="D952" s="49"/>
      <c r="E952" s="49"/>
    </row>
    <row r="953" spans="1:5">
      <c r="A953" s="49"/>
      <c r="B953" s="49"/>
      <c r="C953" s="49"/>
      <c r="D953" s="49"/>
      <c r="E953" s="49"/>
    </row>
    <row r="954" spans="1:5">
      <c r="A954" s="49"/>
      <c r="B954" s="49"/>
      <c r="C954" s="49"/>
      <c r="D954" s="49"/>
      <c r="E954" s="49"/>
    </row>
    <row r="955" spans="1:5">
      <c r="A955" s="49"/>
      <c r="B955" s="49"/>
      <c r="C955" s="49"/>
      <c r="D955" s="49"/>
      <c r="E955" s="49"/>
    </row>
    <row r="956" spans="1:5">
      <c r="A956" s="49"/>
      <c r="B956" s="49"/>
      <c r="C956" s="49"/>
      <c r="D956" s="49"/>
      <c r="E956" s="49"/>
    </row>
    <row r="957" spans="1:5">
      <c r="A957" s="49"/>
      <c r="B957" s="49"/>
      <c r="C957" s="49"/>
      <c r="D957" s="49"/>
      <c r="E957" s="49"/>
    </row>
    <row r="958" spans="1:5">
      <c r="A958" s="49"/>
      <c r="B958" s="49"/>
      <c r="C958" s="49"/>
      <c r="D958" s="49"/>
      <c r="E958" s="49"/>
    </row>
    <row r="959" spans="1:5">
      <c r="A959" s="49"/>
      <c r="B959" s="49"/>
      <c r="C959" s="49"/>
      <c r="D959" s="49"/>
      <c r="E959" s="49"/>
    </row>
    <row r="960" spans="1:5">
      <c r="A960" s="49"/>
      <c r="B960" s="49"/>
      <c r="C960" s="49"/>
      <c r="D960" s="49"/>
      <c r="E960" s="49"/>
    </row>
    <row r="961" spans="1:5">
      <c r="A961" s="49"/>
      <c r="B961" s="49"/>
      <c r="C961" s="49"/>
      <c r="D961" s="49"/>
      <c r="E961" s="49"/>
    </row>
    <row r="962" spans="1:5">
      <c r="A962" s="49"/>
      <c r="B962" s="49"/>
      <c r="C962" s="49"/>
      <c r="D962" s="49"/>
      <c r="E962" s="49"/>
    </row>
    <row r="963" spans="1:5">
      <c r="A963" s="49"/>
      <c r="B963" s="49"/>
      <c r="C963" s="49"/>
      <c r="D963" s="49"/>
      <c r="E963" s="49"/>
    </row>
    <row r="964" spans="1:5">
      <c r="A964" s="49"/>
      <c r="B964" s="49"/>
      <c r="C964" s="49"/>
      <c r="D964" s="49"/>
      <c r="E964" s="49"/>
    </row>
    <row r="965" spans="1:5">
      <c r="A965" s="49"/>
      <c r="B965" s="49"/>
      <c r="C965" s="49"/>
      <c r="D965" s="49"/>
      <c r="E965" s="49"/>
    </row>
    <row r="966" spans="1:5">
      <c r="A966" s="49"/>
      <c r="B966" s="49"/>
      <c r="C966" s="49"/>
      <c r="D966" s="49"/>
      <c r="E966" s="49"/>
    </row>
    <row r="967" spans="1:5">
      <c r="A967" s="49"/>
      <c r="B967" s="49"/>
      <c r="C967" s="49"/>
      <c r="D967" s="49"/>
      <c r="E967" s="49"/>
    </row>
    <row r="968" spans="1:5">
      <c r="A968" s="49"/>
      <c r="B968" s="49"/>
      <c r="C968" s="49"/>
      <c r="D968" s="49"/>
      <c r="E968" s="49"/>
    </row>
    <row r="969" spans="1:5">
      <c r="A969" s="49"/>
      <c r="B969" s="49"/>
      <c r="C969" s="49"/>
      <c r="D969" s="49"/>
      <c r="E969" s="49"/>
    </row>
    <row r="970" spans="1:5">
      <c r="A970" s="49"/>
      <c r="B970" s="49"/>
      <c r="C970" s="49"/>
      <c r="D970" s="49"/>
      <c r="E970" s="49"/>
    </row>
    <row r="971" spans="1:5">
      <c r="A971" s="49"/>
      <c r="B971" s="49"/>
      <c r="C971" s="49"/>
      <c r="D971" s="49"/>
      <c r="E971" s="49"/>
    </row>
    <row r="972" spans="1:5">
      <c r="A972" s="49"/>
      <c r="B972" s="49"/>
      <c r="C972" s="49"/>
      <c r="D972" s="49"/>
      <c r="E972" s="49"/>
    </row>
    <row r="973" spans="1:5">
      <c r="A973" s="49"/>
      <c r="B973" s="49"/>
      <c r="C973" s="49"/>
      <c r="D973" s="49"/>
      <c r="E973" s="49"/>
    </row>
    <row r="974" spans="1:5">
      <c r="A974" s="49"/>
      <c r="B974" s="49"/>
      <c r="C974" s="49"/>
      <c r="D974" s="49"/>
      <c r="E974" s="49"/>
    </row>
    <row r="975" spans="1:5">
      <c r="A975" s="49"/>
      <c r="B975" s="49"/>
      <c r="C975" s="49"/>
      <c r="D975" s="49"/>
      <c r="E975" s="49"/>
    </row>
    <row r="976" spans="1:5">
      <c r="A976" s="49"/>
      <c r="B976" s="49"/>
      <c r="C976" s="49"/>
      <c r="D976" s="49"/>
      <c r="E976" s="49"/>
    </row>
    <row r="977" spans="1:5">
      <c r="A977" s="49"/>
      <c r="B977" s="49"/>
      <c r="C977" s="49"/>
      <c r="D977" s="49"/>
      <c r="E977" s="49"/>
    </row>
    <row r="978" spans="1:5">
      <c r="A978" s="49"/>
      <c r="B978" s="49"/>
      <c r="C978" s="49"/>
      <c r="D978" s="49"/>
      <c r="E978" s="49"/>
    </row>
    <row r="979" spans="1:5">
      <c r="A979" s="49"/>
      <c r="B979" s="49"/>
      <c r="C979" s="49"/>
      <c r="D979" s="49"/>
      <c r="E979" s="49"/>
    </row>
    <row r="980" spans="1:5">
      <c r="A980" s="49"/>
      <c r="B980" s="49"/>
      <c r="C980" s="49"/>
      <c r="D980" s="49"/>
      <c r="E980" s="49"/>
    </row>
    <row r="981" spans="1:5">
      <c r="A981" s="49"/>
      <c r="B981" s="49"/>
      <c r="C981" s="49"/>
      <c r="D981" s="49"/>
      <c r="E981" s="49"/>
    </row>
    <row r="982" spans="1:5">
      <c r="A982" s="49"/>
      <c r="B982" s="49"/>
      <c r="C982" s="49"/>
      <c r="D982" s="49"/>
      <c r="E982" s="49"/>
    </row>
    <row r="983" spans="1:5">
      <c r="A983" s="49"/>
      <c r="B983" s="49"/>
      <c r="C983" s="49"/>
      <c r="D983" s="49"/>
      <c r="E983" s="49"/>
    </row>
    <row r="984" spans="1:5">
      <c r="A984" s="49"/>
      <c r="B984" s="49"/>
      <c r="C984" s="49"/>
      <c r="D984" s="49"/>
      <c r="E984" s="49"/>
    </row>
    <row r="985" spans="1:5">
      <c r="A985" s="49"/>
      <c r="B985" s="49"/>
      <c r="C985" s="49"/>
      <c r="D985" s="49"/>
      <c r="E985" s="49"/>
    </row>
    <row r="986" spans="1:5">
      <c r="A986" s="49"/>
      <c r="B986" s="49"/>
      <c r="C986" s="49"/>
      <c r="D986" s="49"/>
      <c r="E986" s="49"/>
    </row>
    <row r="987" spans="1:5">
      <c r="A987" s="49"/>
      <c r="B987" s="49"/>
      <c r="C987" s="49"/>
      <c r="D987" s="49"/>
      <c r="E987" s="49"/>
    </row>
    <row r="988" spans="1:5">
      <c r="A988" s="49"/>
      <c r="B988" s="49"/>
      <c r="C988" s="49"/>
      <c r="D988" s="49"/>
      <c r="E988" s="49"/>
    </row>
    <row r="989" spans="1:5">
      <c r="A989" s="49"/>
      <c r="B989" s="49"/>
      <c r="C989" s="49"/>
      <c r="D989" s="49"/>
      <c r="E989" s="49"/>
    </row>
    <row r="990" spans="1:5">
      <c r="A990" s="49"/>
      <c r="B990" s="49"/>
      <c r="C990" s="49"/>
      <c r="D990" s="49"/>
      <c r="E990" s="49"/>
    </row>
    <row r="991" spans="1:5">
      <c r="A991" s="49"/>
      <c r="B991" s="49"/>
      <c r="C991" s="49"/>
      <c r="D991" s="49"/>
      <c r="E991" s="49"/>
    </row>
    <row r="992" spans="1:5">
      <c r="A992" s="49"/>
      <c r="B992" s="49"/>
      <c r="C992" s="49"/>
      <c r="D992" s="49"/>
      <c r="E992" s="49"/>
    </row>
    <row r="993" spans="1:5">
      <c r="A993" s="49"/>
      <c r="B993" s="49"/>
      <c r="C993" s="49"/>
      <c r="D993" s="49"/>
      <c r="E993" s="49"/>
    </row>
    <row r="994" spans="1:5">
      <c r="A994" s="49"/>
      <c r="B994" s="49"/>
      <c r="C994" s="49"/>
      <c r="D994" s="49"/>
      <c r="E994" s="49"/>
    </row>
    <row r="995" spans="1:5">
      <c r="A995" s="49"/>
      <c r="B995" s="49"/>
      <c r="C995" s="49"/>
      <c r="D995" s="49"/>
      <c r="E995" s="49"/>
    </row>
    <row r="996" spans="1:5">
      <c r="A996" s="49"/>
      <c r="B996" s="49"/>
      <c r="C996" s="49"/>
      <c r="D996" s="49"/>
      <c r="E996" s="49"/>
    </row>
    <row r="997" spans="1:5">
      <c r="A997" s="49"/>
      <c r="B997" s="49"/>
      <c r="C997" s="49"/>
      <c r="D997" s="49"/>
      <c r="E997" s="49"/>
    </row>
    <row r="998" spans="1:5">
      <c r="A998" s="49"/>
      <c r="B998" s="49"/>
      <c r="C998" s="49"/>
      <c r="D998" s="49"/>
      <c r="E998" s="49"/>
    </row>
    <row r="999" spans="1:5">
      <c r="A999" s="49"/>
      <c r="B999" s="49"/>
      <c r="C999" s="49"/>
      <c r="D999" s="49"/>
      <c r="E999" s="49"/>
    </row>
    <row r="1000" spans="1:5">
      <c r="A1000" s="49"/>
      <c r="B1000" s="49"/>
      <c r="C1000" s="49"/>
      <c r="D1000" s="49"/>
      <c r="E1000" s="49"/>
    </row>
    <row r="1001" spans="1:5">
      <c r="A1001" s="49"/>
      <c r="B1001" s="49"/>
      <c r="C1001" s="49"/>
      <c r="D1001" s="49"/>
      <c r="E1001" s="49"/>
    </row>
    <row r="1002" spans="1:5">
      <c r="A1002" s="49"/>
      <c r="B1002" s="49"/>
      <c r="C1002" s="49"/>
      <c r="D1002" s="49"/>
      <c r="E1002" s="49"/>
    </row>
    <row r="1003" spans="1:5">
      <c r="A1003" s="49"/>
      <c r="B1003" s="49"/>
      <c r="C1003" s="49"/>
      <c r="D1003" s="49"/>
      <c r="E1003" s="49"/>
    </row>
    <row r="1004" spans="1:5">
      <c r="A1004" s="49"/>
      <c r="B1004" s="49"/>
      <c r="C1004" s="49"/>
      <c r="D1004" s="49"/>
      <c r="E1004" s="49"/>
    </row>
    <row r="1005" spans="1:5">
      <c r="A1005" s="49"/>
      <c r="B1005" s="49"/>
      <c r="C1005" s="49"/>
      <c r="D1005" s="49"/>
      <c r="E1005" s="49"/>
    </row>
    <row r="1006" spans="1:5">
      <c r="A1006" s="49"/>
      <c r="B1006" s="49"/>
      <c r="C1006" s="49"/>
      <c r="D1006" s="49"/>
      <c r="E1006" s="49"/>
    </row>
    <row r="1007" spans="1:5">
      <c r="A1007" s="49"/>
      <c r="B1007" s="49"/>
      <c r="C1007" s="49"/>
      <c r="D1007" s="49"/>
      <c r="E1007" s="49"/>
    </row>
    <row r="1008" spans="1:5">
      <c r="A1008" s="49"/>
      <c r="B1008" s="49"/>
      <c r="C1008" s="49"/>
      <c r="D1008" s="49"/>
      <c r="E1008" s="49"/>
    </row>
    <row r="1009" spans="1:5">
      <c r="A1009" s="49"/>
      <c r="B1009" s="49"/>
      <c r="C1009" s="49"/>
      <c r="D1009" s="49"/>
      <c r="E1009" s="49"/>
    </row>
    <row r="1010" spans="1:5">
      <c r="A1010" s="49"/>
      <c r="B1010" s="49"/>
      <c r="C1010" s="49"/>
      <c r="D1010" s="49"/>
      <c r="E1010" s="49"/>
    </row>
    <row r="1011" spans="1:5">
      <c r="A1011" s="49"/>
      <c r="B1011" s="49"/>
      <c r="C1011" s="49"/>
      <c r="D1011" s="49"/>
      <c r="E1011" s="49"/>
    </row>
    <row r="1012" spans="1:5">
      <c r="A1012" s="49"/>
      <c r="B1012" s="49"/>
      <c r="C1012" s="49"/>
      <c r="D1012" s="49"/>
      <c r="E1012" s="49"/>
    </row>
    <row r="1013" spans="1:5">
      <c r="A1013" s="49"/>
      <c r="B1013" s="49"/>
      <c r="C1013" s="49"/>
      <c r="D1013" s="49"/>
      <c r="E1013" s="49"/>
    </row>
    <row r="1014" spans="1:5">
      <c r="A1014" s="49"/>
      <c r="B1014" s="49"/>
      <c r="C1014" s="49"/>
      <c r="D1014" s="49"/>
      <c r="E1014" s="49"/>
    </row>
    <row r="1015" spans="1:5">
      <c r="A1015" s="49"/>
      <c r="B1015" s="49"/>
      <c r="C1015" s="49"/>
      <c r="D1015" s="49"/>
      <c r="E1015" s="49"/>
    </row>
    <row r="1016" spans="1:5">
      <c r="A1016" s="49"/>
      <c r="B1016" s="49"/>
      <c r="C1016" s="49"/>
      <c r="D1016" s="49"/>
      <c r="E1016" s="49"/>
    </row>
    <row r="1017" spans="1:5">
      <c r="A1017" s="49"/>
      <c r="B1017" s="49"/>
      <c r="C1017" s="49"/>
      <c r="D1017" s="49"/>
      <c r="E1017" s="49"/>
    </row>
    <row r="1018" spans="1:5">
      <c r="A1018" s="49"/>
      <c r="B1018" s="49"/>
      <c r="C1018" s="49"/>
      <c r="D1018" s="49"/>
      <c r="E1018" s="49"/>
    </row>
    <row r="1019" spans="1:5">
      <c r="A1019" s="49"/>
      <c r="B1019" s="49"/>
      <c r="C1019" s="49"/>
      <c r="D1019" s="49"/>
      <c r="E1019" s="49"/>
    </row>
    <row r="1020" spans="1:5">
      <c r="A1020" s="49"/>
      <c r="B1020" s="49"/>
      <c r="C1020" s="49"/>
      <c r="D1020" s="49"/>
      <c r="E1020" s="49"/>
    </row>
    <row r="1021" spans="1:5">
      <c r="A1021" s="49"/>
      <c r="B1021" s="49"/>
      <c r="C1021" s="49"/>
      <c r="D1021" s="49"/>
      <c r="E1021" s="49"/>
    </row>
    <row r="1022" spans="1:5">
      <c r="A1022" s="49"/>
      <c r="B1022" s="49"/>
      <c r="C1022" s="49"/>
      <c r="D1022" s="49"/>
      <c r="E1022" s="49"/>
    </row>
    <row r="1023" spans="1:5">
      <c r="A1023" s="49"/>
      <c r="B1023" s="49"/>
      <c r="C1023" s="49"/>
      <c r="D1023" s="49"/>
      <c r="E1023" s="49"/>
    </row>
    <row r="1024" spans="1:5">
      <c r="A1024" s="49"/>
      <c r="B1024" s="49"/>
      <c r="C1024" s="49"/>
      <c r="D1024" s="49"/>
      <c r="E1024" s="49"/>
    </row>
    <row r="1025" spans="1:5">
      <c r="A1025" s="49"/>
      <c r="B1025" s="49"/>
      <c r="C1025" s="49"/>
      <c r="D1025" s="49"/>
      <c r="E1025" s="49"/>
    </row>
    <row r="1026" spans="1:5">
      <c r="A1026" s="49"/>
      <c r="B1026" s="49"/>
      <c r="C1026" s="49"/>
      <c r="D1026" s="49"/>
      <c r="E1026" s="49"/>
    </row>
    <row r="1027" spans="1:5">
      <c r="A1027" s="49"/>
      <c r="B1027" s="49"/>
      <c r="C1027" s="49"/>
      <c r="D1027" s="49"/>
      <c r="E1027" s="49"/>
    </row>
    <row r="1028" spans="1:5">
      <c r="A1028" s="49"/>
      <c r="B1028" s="49"/>
      <c r="C1028" s="49"/>
      <c r="D1028" s="49"/>
      <c r="E1028" s="49"/>
    </row>
    <row r="1029" spans="1:5">
      <c r="A1029" s="49"/>
      <c r="B1029" s="49"/>
      <c r="C1029" s="49"/>
      <c r="D1029" s="49"/>
      <c r="E1029" s="49"/>
    </row>
    <row r="1030" spans="1:5">
      <c r="A1030" s="49"/>
      <c r="B1030" s="49"/>
      <c r="C1030" s="49"/>
      <c r="D1030" s="49"/>
      <c r="E1030" s="49"/>
    </row>
    <row r="1031" spans="1:5">
      <c r="A1031" s="49"/>
      <c r="B1031" s="49"/>
      <c r="C1031" s="49"/>
      <c r="D1031" s="49"/>
      <c r="E1031" s="49"/>
    </row>
    <row r="1032" spans="1:5">
      <c r="A1032" s="49"/>
      <c r="B1032" s="49"/>
      <c r="C1032" s="49"/>
      <c r="D1032" s="49"/>
      <c r="E1032" s="49"/>
    </row>
    <row r="1033" spans="1:5">
      <c r="A1033" s="49"/>
      <c r="B1033" s="49"/>
      <c r="C1033" s="49"/>
      <c r="D1033" s="49"/>
      <c r="E1033" s="49"/>
    </row>
    <row r="1034" spans="1:5">
      <c r="A1034" s="49"/>
      <c r="B1034" s="49"/>
      <c r="C1034" s="49"/>
      <c r="D1034" s="49"/>
      <c r="E1034" s="49"/>
    </row>
    <row r="1035" spans="1:5">
      <c r="A1035" s="49"/>
      <c r="B1035" s="49"/>
      <c r="C1035" s="49"/>
      <c r="D1035" s="49"/>
      <c r="E1035" s="49"/>
    </row>
    <row r="1036" spans="1:5">
      <c r="A1036" s="49"/>
      <c r="B1036" s="49"/>
      <c r="C1036" s="49"/>
      <c r="D1036" s="49"/>
      <c r="E1036" s="49"/>
    </row>
    <row r="1037" spans="1:5">
      <c r="A1037" s="49"/>
      <c r="B1037" s="49"/>
      <c r="C1037" s="49"/>
      <c r="D1037" s="49"/>
      <c r="E1037" s="49"/>
    </row>
    <row r="1038" spans="1:5">
      <c r="A1038" s="49"/>
      <c r="B1038" s="49"/>
      <c r="C1038" s="49"/>
      <c r="D1038" s="49"/>
      <c r="E1038" s="49"/>
    </row>
    <row r="1039" spans="1:5">
      <c r="A1039" s="49"/>
      <c r="B1039" s="49"/>
      <c r="C1039" s="49"/>
      <c r="D1039" s="49"/>
      <c r="E1039" s="49"/>
    </row>
    <row r="1040" spans="1:5">
      <c r="A1040" s="49"/>
      <c r="B1040" s="49"/>
      <c r="C1040" s="49"/>
      <c r="D1040" s="49"/>
      <c r="E1040" s="49"/>
    </row>
    <row r="1041" spans="1:5">
      <c r="A1041" s="49"/>
      <c r="B1041" s="49"/>
      <c r="C1041" s="49"/>
      <c r="D1041" s="49"/>
      <c r="E1041" s="49"/>
    </row>
    <row r="1042" spans="1:5">
      <c r="A1042" s="49"/>
      <c r="B1042" s="49"/>
      <c r="C1042" s="49"/>
      <c r="D1042" s="49"/>
      <c r="E1042" s="49"/>
    </row>
    <row r="1043" spans="1:5">
      <c r="A1043" s="49"/>
      <c r="B1043" s="49"/>
      <c r="C1043" s="49"/>
      <c r="D1043" s="49"/>
      <c r="E1043" s="49"/>
    </row>
    <row r="1044" spans="1:5">
      <c r="A1044" s="49"/>
      <c r="B1044" s="49"/>
      <c r="C1044" s="49"/>
      <c r="D1044" s="49"/>
      <c r="E1044" s="49"/>
    </row>
    <row r="1045" spans="1:5">
      <c r="A1045" s="49"/>
      <c r="B1045" s="49"/>
      <c r="C1045" s="49"/>
      <c r="D1045" s="49"/>
      <c r="E1045" s="49"/>
    </row>
    <row r="1046" spans="1:5">
      <c r="A1046" s="49"/>
      <c r="B1046" s="49"/>
      <c r="C1046" s="49"/>
      <c r="D1046" s="49"/>
      <c r="E1046" s="49"/>
    </row>
    <row r="1047" spans="1:5">
      <c r="A1047" s="49"/>
      <c r="B1047" s="49"/>
      <c r="C1047" s="49"/>
      <c r="D1047" s="49"/>
      <c r="E1047" s="49"/>
    </row>
    <row r="1048" spans="1:5">
      <c r="A1048" s="49"/>
      <c r="B1048" s="49"/>
      <c r="C1048" s="49"/>
      <c r="D1048" s="49"/>
      <c r="E1048" s="49"/>
    </row>
    <row r="1049" spans="1:5">
      <c r="A1049" s="49"/>
      <c r="B1049" s="49"/>
      <c r="C1049" s="49"/>
      <c r="D1049" s="49"/>
      <c r="E1049" s="49"/>
    </row>
    <row r="1050" spans="1:5">
      <c r="A1050" s="49"/>
      <c r="B1050" s="49"/>
      <c r="C1050" s="49"/>
      <c r="D1050" s="49"/>
      <c r="E1050" s="49"/>
    </row>
    <row r="1051" spans="1:5">
      <c r="A1051" s="49"/>
      <c r="B1051" s="49"/>
      <c r="C1051" s="49"/>
      <c r="D1051" s="49"/>
      <c r="E1051" s="49"/>
    </row>
    <row r="1052" spans="1:5">
      <c r="A1052" s="49"/>
      <c r="B1052" s="49"/>
      <c r="C1052" s="49"/>
      <c r="D1052" s="49"/>
      <c r="E1052" s="49"/>
    </row>
    <row r="1053" spans="1:5">
      <c r="A1053" s="49"/>
      <c r="B1053" s="49"/>
      <c r="C1053" s="49"/>
      <c r="D1053" s="49"/>
      <c r="E1053" s="49"/>
    </row>
    <row r="1054" spans="1:5">
      <c r="A1054" s="49"/>
      <c r="B1054" s="49"/>
      <c r="C1054" s="49"/>
      <c r="D1054" s="49"/>
      <c r="E1054" s="49"/>
    </row>
    <row r="1055" spans="1:5">
      <c r="A1055" s="49"/>
      <c r="B1055" s="49"/>
      <c r="C1055" s="49"/>
      <c r="D1055" s="49"/>
      <c r="E1055" s="49"/>
    </row>
    <row r="1056" spans="1:5">
      <c r="A1056" s="49"/>
      <c r="B1056" s="49"/>
      <c r="C1056" s="49"/>
      <c r="D1056" s="49"/>
      <c r="E1056" s="49"/>
    </row>
    <row r="1057" spans="1:5">
      <c r="A1057" s="49"/>
      <c r="B1057" s="49"/>
      <c r="C1057" s="49"/>
      <c r="D1057" s="49"/>
      <c r="E1057" s="49"/>
    </row>
    <row r="1058" spans="1:5">
      <c r="A1058" s="49"/>
      <c r="B1058" s="49"/>
      <c r="C1058" s="49"/>
      <c r="D1058" s="49"/>
      <c r="E1058" s="49"/>
    </row>
    <row r="1059" spans="1:5">
      <c r="A1059" s="49"/>
      <c r="B1059" s="49"/>
      <c r="C1059" s="49"/>
      <c r="D1059" s="49"/>
      <c r="E1059" s="49"/>
    </row>
    <row r="1060" spans="1:5">
      <c r="A1060" s="49"/>
      <c r="B1060" s="49"/>
      <c r="C1060" s="49"/>
      <c r="D1060" s="49"/>
      <c r="E1060" s="49"/>
    </row>
    <row r="1061" spans="1:5">
      <c r="A1061" s="49"/>
      <c r="B1061" s="49"/>
      <c r="C1061" s="49"/>
      <c r="D1061" s="49"/>
      <c r="E1061" s="49"/>
    </row>
    <row r="1062" spans="1:5">
      <c r="A1062" s="49"/>
      <c r="B1062" s="49"/>
      <c r="C1062" s="49"/>
      <c r="D1062" s="49"/>
      <c r="E1062" s="49"/>
    </row>
    <row r="1063" spans="1:5">
      <c r="A1063" s="49"/>
      <c r="B1063" s="49"/>
      <c r="C1063" s="49"/>
      <c r="D1063" s="49"/>
      <c r="E1063" s="49"/>
    </row>
    <row r="1064" spans="1:5">
      <c r="A1064" s="49"/>
      <c r="B1064" s="49"/>
      <c r="C1064" s="49"/>
      <c r="D1064" s="49"/>
      <c r="E1064" s="49"/>
    </row>
    <row r="1065" spans="1:5">
      <c r="A1065" s="49"/>
      <c r="B1065" s="49"/>
      <c r="C1065" s="49"/>
      <c r="D1065" s="49"/>
      <c r="E1065" s="49"/>
    </row>
    <row r="1066" spans="1:5">
      <c r="A1066" s="49"/>
      <c r="B1066" s="49"/>
      <c r="C1066" s="49"/>
      <c r="D1066" s="49"/>
      <c r="E1066" s="49"/>
    </row>
    <row r="1067" spans="1:5">
      <c r="A1067" s="49"/>
      <c r="B1067" s="49"/>
      <c r="C1067" s="49"/>
      <c r="D1067" s="49"/>
      <c r="E1067" s="49"/>
    </row>
    <row r="1068" spans="1:5">
      <c r="A1068" s="49"/>
      <c r="B1068" s="49"/>
      <c r="C1068" s="49"/>
      <c r="D1068" s="49"/>
      <c r="E1068" s="49"/>
    </row>
    <row r="1069" spans="1:5">
      <c r="A1069" s="49"/>
      <c r="B1069" s="49"/>
      <c r="C1069" s="49"/>
      <c r="D1069" s="49"/>
      <c r="E1069" s="49"/>
    </row>
    <row r="1070" spans="1:5">
      <c r="A1070" s="49"/>
      <c r="B1070" s="49"/>
      <c r="C1070" s="49"/>
      <c r="D1070" s="49"/>
      <c r="E1070" s="49"/>
    </row>
    <row r="1071" spans="1:5">
      <c r="A1071" s="49"/>
      <c r="B1071" s="49"/>
      <c r="C1071" s="49"/>
      <c r="D1071" s="49"/>
      <c r="E1071" s="49"/>
    </row>
    <row r="1072" spans="1:5">
      <c r="A1072" s="49"/>
      <c r="B1072" s="49"/>
      <c r="C1072" s="49"/>
      <c r="D1072" s="49"/>
      <c r="E1072" s="49"/>
    </row>
    <row r="1073" spans="1:5">
      <c r="A1073" s="49"/>
      <c r="B1073" s="49"/>
      <c r="C1073" s="49"/>
      <c r="D1073" s="49"/>
      <c r="E1073" s="49"/>
    </row>
    <row r="1074" spans="1:5">
      <c r="A1074" s="49"/>
      <c r="B1074" s="49"/>
      <c r="C1074" s="49"/>
      <c r="D1074" s="49"/>
      <c r="E1074" s="49"/>
    </row>
    <row r="1075" spans="1:5">
      <c r="A1075" s="49"/>
      <c r="B1075" s="49"/>
      <c r="C1075" s="49"/>
      <c r="D1075" s="49"/>
      <c r="E1075" s="49"/>
    </row>
    <row r="1076" spans="1:5">
      <c r="A1076" s="49"/>
      <c r="B1076" s="49"/>
      <c r="C1076" s="49"/>
      <c r="D1076" s="49"/>
      <c r="E1076" s="49"/>
    </row>
    <row r="1077" spans="1:5">
      <c r="A1077" s="49"/>
      <c r="B1077" s="49"/>
      <c r="C1077" s="49"/>
      <c r="D1077" s="49"/>
      <c r="E1077" s="49"/>
    </row>
    <row r="1078" spans="1:5">
      <c r="A1078" s="49"/>
      <c r="B1078" s="49"/>
      <c r="C1078" s="49"/>
      <c r="D1078" s="49"/>
      <c r="E1078" s="49"/>
    </row>
    <row r="1079" spans="1:5">
      <c r="A1079" s="49"/>
      <c r="B1079" s="49"/>
      <c r="C1079" s="49"/>
      <c r="D1079" s="49"/>
      <c r="E1079" s="49"/>
    </row>
    <row r="1080" spans="1:5">
      <c r="A1080" s="49"/>
      <c r="B1080" s="49"/>
      <c r="C1080" s="49"/>
      <c r="D1080" s="49"/>
      <c r="E1080" s="49"/>
    </row>
    <row r="1081" spans="1:5">
      <c r="A1081" s="49"/>
      <c r="B1081" s="49"/>
      <c r="C1081" s="49"/>
      <c r="D1081" s="49"/>
      <c r="E1081" s="49"/>
    </row>
    <row r="1082" spans="1:5">
      <c r="A1082" s="49"/>
      <c r="B1082" s="49"/>
      <c r="C1082" s="49"/>
      <c r="D1082" s="49"/>
      <c r="E1082" s="49"/>
    </row>
    <row r="1083" spans="1:5">
      <c r="A1083" s="49"/>
      <c r="B1083" s="49"/>
      <c r="C1083" s="49"/>
      <c r="D1083" s="49"/>
      <c r="E1083" s="49"/>
    </row>
    <row r="1084" spans="1:5">
      <c r="A1084" s="49"/>
      <c r="B1084" s="49"/>
      <c r="C1084" s="49"/>
      <c r="D1084" s="49"/>
      <c r="E1084" s="49"/>
    </row>
    <row r="1085" spans="1:5">
      <c r="A1085" s="49"/>
      <c r="B1085" s="49"/>
      <c r="C1085" s="49"/>
      <c r="D1085" s="49"/>
      <c r="E1085" s="49"/>
    </row>
    <row r="1086" spans="1:5">
      <c r="A1086" s="49"/>
      <c r="B1086" s="49"/>
      <c r="C1086" s="49"/>
      <c r="D1086" s="49"/>
      <c r="E1086" s="49"/>
    </row>
    <row r="1087" spans="1:5">
      <c r="A1087" s="49"/>
      <c r="B1087" s="49"/>
      <c r="C1087" s="49"/>
      <c r="D1087" s="49"/>
      <c r="E1087" s="49"/>
    </row>
    <row r="1088" spans="1:5">
      <c r="A1088" s="49"/>
      <c r="B1088" s="49"/>
      <c r="C1088" s="49"/>
      <c r="D1088" s="49"/>
      <c r="E1088" s="49"/>
    </row>
    <row r="1089" spans="1:5">
      <c r="A1089" s="49"/>
      <c r="B1089" s="49"/>
      <c r="C1089" s="49"/>
      <c r="D1089" s="49"/>
      <c r="E1089" s="49"/>
    </row>
    <row r="1090" spans="1:5">
      <c r="A1090" s="49"/>
      <c r="B1090" s="49"/>
      <c r="C1090" s="49"/>
      <c r="D1090" s="49"/>
      <c r="E1090" s="49"/>
    </row>
    <row r="1091" spans="1:5">
      <c r="A1091" s="49"/>
      <c r="B1091" s="49"/>
      <c r="C1091" s="49"/>
      <c r="D1091" s="49"/>
      <c r="E1091" s="49"/>
    </row>
    <row r="1092" spans="1:5">
      <c r="A1092" s="49"/>
      <c r="B1092" s="49"/>
      <c r="C1092" s="49"/>
      <c r="D1092" s="49"/>
      <c r="E1092" s="49"/>
    </row>
    <row r="1093" spans="1:5">
      <c r="A1093" s="49"/>
      <c r="B1093" s="49"/>
      <c r="C1093" s="49"/>
      <c r="D1093" s="49"/>
      <c r="E1093" s="49"/>
    </row>
    <row r="1094" spans="1:5">
      <c r="A1094" s="49"/>
      <c r="B1094" s="49"/>
      <c r="C1094" s="49"/>
      <c r="D1094" s="49"/>
      <c r="E1094" s="49"/>
    </row>
    <row r="1095" spans="1:5">
      <c r="A1095" s="49"/>
      <c r="B1095" s="49"/>
      <c r="C1095" s="49"/>
      <c r="D1095" s="49"/>
      <c r="E1095" s="49"/>
    </row>
    <row r="1096" spans="1:5">
      <c r="A1096" s="49"/>
      <c r="B1096" s="49"/>
      <c r="C1096" s="49"/>
      <c r="D1096" s="49"/>
      <c r="E1096" s="49"/>
    </row>
    <row r="1097" spans="1:5">
      <c r="A1097" s="49"/>
      <c r="B1097" s="49"/>
      <c r="C1097" s="49"/>
      <c r="D1097" s="49"/>
      <c r="E1097" s="49"/>
    </row>
    <row r="1098" spans="1:5">
      <c r="A1098" s="49"/>
      <c r="B1098" s="49"/>
      <c r="C1098" s="49"/>
      <c r="D1098" s="49"/>
      <c r="E1098" s="49"/>
    </row>
    <row r="1099" spans="1:5">
      <c r="A1099" s="49"/>
      <c r="B1099" s="49"/>
      <c r="C1099" s="49"/>
      <c r="D1099" s="49"/>
      <c r="E1099" s="49"/>
    </row>
    <row r="1100" spans="1:5">
      <c r="A1100" s="49"/>
      <c r="B1100" s="49"/>
      <c r="C1100" s="49"/>
      <c r="D1100" s="49"/>
      <c r="E1100" s="49"/>
    </row>
    <row r="1101" spans="1:5">
      <c r="A1101" s="49"/>
      <c r="B1101" s="49"/>
      <c r="C1101" s="49"/>
      <c r="D1101" s="49"/>
      <c r="E1101" s="49"/>
    </row>
    <row r="1102" spans="1:5">
      <c r="A1102" s="49"/>
      <c r="B1102" s="49"/>
      <c r="C1102" s="49"/>
      <c r="D1102" s="49"/>
      <c r="E1102" s="49"/>
    </row>
    <row r="1103" spans="1:5">
      <c r="A1103" s="49"/>
      <c r="B1103" s="49"/>
      <c r="C1103" s="49"/>
      <c r="D1103" s="49"/>
      <c r="E1103" s="49"/>
    </row>
    <row r="1104" spans="1:5">
      <c r="A1104" s="49"/>
      <c r="B1104" s="49"/>
      <c r="C1104" s="49"/>
      <c r="D1104" s="49"/>
      <c r="E1104" s="49"/>
    </row>
    <row r="1105" spans="1:5">
      <c r="A1105" s="49"/>
      <c r="B1105" s="49"/>
      <c r="C1105" s="49"/>
      <c r="D1105" s="49"/>
      <c r="E1105" s="49"/>
    </row>
    <row r="1106" spans="1:5">
      <c r="A1106" s="49"/>
      <c r="B1106" s="49"/>
      <c r="C1106" s="49"/>
      <c r="D1106" s="49"/>
      <c r="E1106" s="49"/>
    </row>
    <row r="1107" spans="1:5">
      <c r="A1107" s="49"/>
      <c r="B1107" s="49"/>
      <c r="C1107" s="49"/>
      <c r="D1107" s="49"/>
      <c r="E1107" s="49"/>
    </row>
    <row r="1108" spans="1:5">
      <c r="A1108" s="49"/>
      <c r="B1108" s="49"/>
      <c r="C1108" s="49"/>
      <c r="D1108" s="49"/>
      <c r="E1108" s="49"/>
    </row>
    <row r="1109" spans="1:5">
      <c r="A1109" s="49"/>
      <c r="B1109" s="49"/>
      <c r="C1109" s="49"/>
      <c r="D1109" s="49"/>
      <c r="E1109" s="49"/>
    </row>
    <row r="1110" spans="1:5">
      <c r="A1110" s="49"/>
      <c r="B1110" s="49"/>
      <c r="C1110" s="49"/>
      <c r="D1110" s="49"/>
      <c r="E1110" s="49"/>
    </row>
    <row r="1111" spans="1:5">
      <c r="A1111" s="49"/>
      <c r="B1111" s="49"/>
      <c r="C1111" s="49"/>
      <c r="D1111" s="49"/>
      <c r="E1111" s="49"/>
    </row>
    <row r="1112" spans="1:5">
      <c r="A1112" s="49"/>
      <c r="B1112" s="49"/>
      <c r="C1112" s="49"/>
      <c r="D1112" s="49"/>
      <c r="E1112" s="49"/>
    </row>
    <row r="1113" spans="1:5">
      <c r="A1113" s="49"/>
      <c r="B1113" s="49"/>
      <c r="C1113" s="49"/>
      <c r="D1113" s="49"/>
      <c r="E1113" s="49"/>
    </row>
    <row r="1114" spans="1:5">
      <c r="A1114" s="49"/>
      <c r="B1114" s="49"/>
      <c r="C1114" s="49"/>
      <c r="D1114" s="49"/>
      <c r="E1114" s="49"/>
    </row>
    <row r="1115" spans="1:5">
      <c r="A1115" s="49"/>
      <c r="B1115" s="49"/>
      <c r="C1115" s="49"/>
      <c r="D1115" s="49"/>
      <c r="E1115" s="49"/>
    </row>
    <row r="1116" spans="1:5">
      <c r="A1116" s="49"/>
      <c r="B1116" s="49"/>
      <c r="C1116" s="49"/>
      <c r="D1116" s="49"/>
      <c r="E1116" s="49"/>
    </row>
    <row r="1117" spans="1:5">
      <c r="A1117" s="49"/>
      <c r="B1117" s="49"/>
      <c r="C1117" s="49"/>
      <c r="D1117" s="49"/>
      <c r="E1117" s="49"/>
    </row>
    <row r="1118" spans="1:5">
      <c r="A1118" s="49"/>
      <c r="B1118" s="49"/>
      <c r="C1118" s="49"/>
      <c r="D1118" s="49"/>
      <c r="E1118" s="49"/>
    </row>
    <row r="1119" spans="1:5">
      <c r="A1119" s="49"/>
      <c r="B1119" s="49"/>
      <c r="C1119" s="49"/>
      <c r="D1119" s="49"/>
      <c r="E1119" s="49"/>
    </row>
    <row r="1120" spans="1:5">
      <c r="A1120" s="49"/>
      <c r="B1120" s="49"/>
      <c r="C1120" s="49"/>
      <c r="D1120" s="49"/>
      <c r="E1120" s="49"/>
    </row>
    <row r="1121" spans="1:5">
      <c r="A1121" s="49"/>
      <c r="B1121" s="49"/>
      <c r="C1121" s="49"/>
      <c r="D1121" s="49"/>
      <c r="E1121" s="49"/>
    </row>
    <row r="1122" spans="1:5">
      <c r="A1122" s="49"/>
      <c r="B1122" s="49"/>
      <c r="C1122" s="49"/>
      <c r="D1122" s="49"/>
      <c r="E1122" s="49"/>
    </row>
    <row r="1123" spans="1:5">
      <c r="A1123" s="49"/>
      <c r="B1123" s="49"/>
      <c r="C1123" s="49"/>
      <c r="D1123" s="49"/>
      <c r="E1123" s="49"/>
    </row>
    <row r="1124" spans="1:5">
      <c r="A1124" s="49"/>
      <c r="B1124" s="49"/>
      <c r="C1124" s="49"/>
      <c r="D1124" s="49"/>
      <c r="E1124" s="49"/>
    </row>
    <row r="1125" spans="1:5">
      <c r="A1125" s="49"/>
      <c r="B1125" s="49"/>
      <c r="C1125" s="49"/>
      <c r="D1125" s="49"/>
      <c r="E1125" s="49"/>
    </row>
    <row r="1126" spans="1:5">
      <c r="A1126" s="49"/>
      <c r="B1126" s="49"/>
      <c r="C1126" s="49"/>
      <c r="D1126" s="49"/>
      <c r="E1126" s="49"/>
    </row>
    <row r="1127" spans="1:5">
      <c r="A1127" s="49"/>
      <c r="B1127" s="49"/>
      <c r="C1127" s="49"/>
      <c r="D1127" s="49"/>
      <c r="E1127" s="49"/>
    </row>
    <row r="1128" spans="1:5">
      <c r="A1128" s="49"/>
      <c r="B1128" s="49"/>
      <c r="C1128" s="49"/>
      <c r="D1128" s="49"/>
      <c r="E1128" s="49"/>
    </row>
    <row r="1129" spans="1:5">
      <c r="A1129" s="49"/>
      <c r="B1129" s="49"/>
      <c r="C1129" s="49"/>
      <c r="D1129" s="49"/>
      <c r="E1129" s="49"/>
    </row>
    <row r="1130" spans="1:5">
      <c r="A1130" s="49"/>
      <c r="B1130" s="49"/>
      <c r="C1130" s="49"/>
      <c r="D1130" s="49"/>
      <c r="E1130" s="49"/>
    </row>
    <row r="1131" spans="1:5">
      <c r="A1131" s="49"/>
      <c r="B1131" s="49"/>
      <c r="C1131" s="49"/>
      <c r="D1131" s="49"/>
      <c r="E1131" s="49"/>
    </row>
    <row r="1132" spans="1:5">
      <c r="A1132" s="49"/>
      <c r="B1132" s="49"/>
      <c r="C1132" s="49"/>
      <c r="D1132" s="49"/>
      <c r="E1132" s="49"/>
    </row>
    <row r="1133" spans="1:5">
      <c r="A1133" s="49"/>
      <c r="B1133" s="49"/>
      <c r="C1133" s="49"/>
      <c r="D1133" s="49"/>
      <c r="E1133" s="49"/>
    </row>
    <row r="1134" spans="1:5">
      <c r="A1134" s="49"/>
      <c r="B1134" s="49"/>
      <c r="C1134" s="49"/>
      <c r="D1134" s="49"/>
      <c r="E1134" s="49"/>
    </row>
    <row r="1135" spans="1:5">
      <c r="A1135" s="49"/>
      <c r="B1135" s="49"/>
      <c r="C1135" s="49"/>
      <c r="D1135" s="49"/>
      <c r="E1135" s="49"/>
    </row>
    <row r="1136" spans="1:5">
      <c r="A1136" s="49"/>
      <c r="B1136" s="49"/>
      <c r="C1136" s="49"/>
      <c r="D1136" s="49"/>
      <c r="E1136" s="49"/>
    </row>
    <row r="1137" spans="1:5">
      <c r="A1137" s="49"/>
      <c r="B1137" s="49"/>
      <c r="C1137" s="49"/>
      <c r="D1137" s="49"/>
      <c r="E1137" s="49"/>
    </row>
    <row r="1138" spans="1:5">
      <c r="A1138" s="49"/>
      <c r="B1138" s="49"/>
      <c r="C1138" s="49"/>
      <c r="D1138" s="49"/>
      <c r="E1138" s="49"/>
    </row>
    <row r="1139" spans="1:5">
      <c r="A1139" s="49"/>
      <c r="B1139" s="49"/>
      <c r="C1139" s="49"/>
      <c r="D1139" s="49"/>
      <c r="E1139" s="49"/>
    </row>
    <row r="1140" spans="1:5">
      <c r="A1140" s="49"/>
      <c r="B1140" s="49"/>
      <c r="C1140" s="49"/>
      <c r="D1140" s="49"/>
      <c r="E1140" s="49"/>
    </row>
    <row r="1141" spans="1:5">
      <c r="A1141" s="49"/>
      <c r="B1141" s="49"/>
      <c r="C1141" s="49"/>
      <c r="D1141" s="49"/>
      <c r="E1141" s="49"/>
    </row>
    <row r="1142" spans="1:5">
      <c r="A1142" s="49"/>
      <c r="B1142" s="49"/>
      <c r="C1142" s="49"/>
      <c r="D1142" s="49"/>
      <c r="E1142" s="49"/>
    </row>
    <row r="1143" spans="1:5">
      <c r="A1143" s="49"/>
      <c r="B1143" s="49"/>
      <c r="C1143" s="49"/>
      <c r="D1143" s="49"/>
      <c r="E1143" s="49"/>
    </row>
    <row r="1144" spans="1:5">
      <c r="A1144" s="49"/>
      <c r="B1144" s="49"/>
      <c r="C1144" s="49"/>
      <c r="D1144" s="49"/>
      <c r="E1144" s="49"/>
    </row>
    <row r="1145" spans="1:5">
      <c r="A1145" s="49"/>
      <c r="B1145" s="49"/>
      <c r="C1145" s="49"/>
      <c r="D1145" s="49"/>
      <c r="E1145" s="49"/>
    </row>
    <row r="1146" spans="1:5">
      <c r="A1146" s="49"/>
      <c r="B1146" s="49"/>
      <c r="C1146" s="49"/>
      <c r="D1146" s="49"/>
      <c r="E1146" s="49"/>
    </row>
    <row r="1147" spans="1:5">
      <c r="A1147" s="49"/>
      <c r="B1147" s="49"/>
      <c r="C1147" s="49"/>
      <c r="D1147" s="49"/>
      <c r="E1147" s="49"/>
    </row>
    <row r="1148" spans="1:5">
      <c r="A1148" s="49"/>
      <c r="B1148" s="49"/>
      <c r="C1148" s="49"/>
      <c r="D1148" s="49"/>
      <c r="E1148" s="49"/>
    </row>
    <row r="1149" spans="1:5">
      <c r="A1149" s="49"/>
      <c r="B1149" s="49"/>
      <c r="C1149" s="49"/>
      <c r="D1149" s="49"/>
      <c r="E1149" s="49"/>
    </row>
    <row r="1150" spans="1:5">
      <c r="A1150" s="49"/>
      <c r="B1150" s="49"/>
      <c r="C1150" s="49"/>
      <c r="D1150" s="49"/>
      <c r="E1150" s="49"/>
    </row>
    <row r="1151" spans="1:5">
      <c r="A1151" s="49"/>
      <c r="B1151" s="49"/>
      <c r="C1151" s="49"/>
      <c r="D1151" s="49"/>
      <c r="E1151" s="49"/>
    </row>
    <row r="1152" spans="1:5">
      <c r="A1152" s="49"/>
      <c r="B1152" s="49"/>
      <c r="C1152" s="49"/>
      <c r="D1152" s="49"/>
      <c r="E1152" s="49"/>
    </row>
    <row r="1153" spans="1:5">
      <c r="A1153" s="49"/>
      <c r="B1153" s="49"/>
      <c r="C1153" s="49"/>
      <c r="D1153" s="49"/>
      <c r="E1153" s="49"/>
    </row>
    <row r="1154" spans="1:5">
      <c r="A1154" s="49"/>
      <c r="B1154" s="49"/>
      <c r="C1154" s="49"/>
      <c r="D1154" s="49"/>
      <c r="E1154" s="49"/>
    </row>
    <row r="1155" spans="1:5">
      <c r="A1155" s="49"/>
      <c r="B1155" s="49"/>
      <c r="C1155" s="49"/>
      <c r="D1155" s="49"/>
      <c r="E1155" s="49"/>
    </row>
    <row r="1156" spans="1:5">
      <c r="A1156" s="49"/>
      <c r="B1156" s="49"/>
      <c r="C1156" s="49"/>
      <c r="D1156" s="49"/>
      <c r="E1156" s="49"/>
    </row>
    <row r="1157" spans="1:5">
      <c r="A1157" s="49"/>
      <c r="B1157" s="49"/>
      <c r="C1157" s="49"/>
      <c r="D1157" s="49"/>
      <c r="E1157" s="49"/>
    </row>
    <row r="1158" spans="1:5">
      <c r="A1158" s="49"/>
      <c r="B1158" s="49"/>
      <c r="C1158" s="49"/>
      <c r="D1158" s="49"/>
      <c r="E1158" s="49"/>
    </row>
    <row r="1159" spans="1:5">
      <c r="A1159" s="49"/>
      <c r="B1159" s="49"/>
      <c r="C1159" s="49"/>
      <c r="D1159" s="49"/>
      <c r="E1159" s="49"/>
    </row>
    <row r="1160" spans="1:5">
      <c r="A1160" s="49"/>
      <c r="B1160" s="49"/>
      <c r="C1160" s="49"/>
      <c r="D1160" s="49"/>
      <c r="E1160" s="49"/>
    </row>
    <row r="1161" spans="1:5">
      <c r="A1161" s="49"/>
      <c r="B1161" s="49"/>
      <c r="C1161" s="49"/>
      <c r="D1161" s="49"/>
      <c r="E1161" s="49"/>
    </row>
    <row r="1162" spans="1:5">
      <c r="A1162" s="49"/>
      <c r="B1162" s="49"/>
      <c r="C1162" s="49"/>
      <c r="D1162" s="49"/>
      <c r="E1162" s="49"/>
    </row>
    <row r="1163" spans="1:5">
      <c r="A1163" s="49"/>
      <c r="B1163" s="49"/>
      <c r="C1163" s="49"/>
      <c r="D1163" s="49"/>
      <c r="E1163" s="49"/>
    </row>
    <row r="1164" spans="1:5">
      <c r="A1164" s="49"/>
      <c r="B1164" s="49"/>
      <c r="C1164" s="49"/>
      <c r="D1164" s="49"/>
      <c r="E1164" s="49"/>
    </row>
    <row r="1165" spans="1:5">
      <c r="A1165" s="49"/>
      <c r="B1165" s="49"/>
      <c r="C1165" s="49"/>
      <c r="D1165" s="49"/>
      <c r="E1165" s="49"/>
    </row>
    <row r="1166" spans="1:5">
      <c r="A1166" s="49"/>
      <c r="B1166" s="49"/>
      <c r="C1166" s="49"/>
      <c r="D1166" s="49"/>
      <c r="E1166" s="49"/>
    </row>
    <row r="1167" spans="1:5">
      <c r="A1167" s="49"/>
      <c r="B1167" s="49"/>
      <c r="C1167" s="49"/>
      <c r="D1167" s="49"/>
      <c r="E1167" s="49"/>
    </row>
    <row r="1168" spans="1:5">
      <c r="A1168" s="49"/>
      <c r="B1168" s="49"/>
      <c r="C1168" s="49"/>
      <c r="D1168" s="49"/>
      <c r="E1168" s="49"/>
    </row>
    <row r="1169" spans="1:5">
      <c r="A1169" s="49"/>
      <c r="B1169" s="49"/>
      <c r="C1169" s="49"/>
      <c r="D1169" s="49"/>
      <c r="E1169" s="49"/>
    </row>
    <row r="1170" spans="1:5">
      <c r="A1170" s="49"/>
      <c r="B1170" s="49"/>
      <c r="C1170" s="49"/>
      <c r="D1170" s="49"/>
      <c r="E1170" s="49"/>
    </row>
    <row r="1171" spans="1:5">
      <c r="A1171" s="49"/>
      <c r="B1171" s="49"/>
      <c r="C1171" s="49"/>
      <c r="D1171" s="49"/>
      <c r="E1171" s="49"/>
    </row>
    <row r="1172" spans="1:5">
      <c r="A1172" s="49"/>
      <c r="B1172" s="49"/>
      <c r="C1172" s="49"/>
      <c r="D1172" s="49"/>
      <c r="E1172" s="49"/>
    </row>
    <row r="1173" spans="1:5">
      <c r="A1173" s="49"/>
      <c r="B1173" s="49"/>
      <c r="C1173" s="49"/>
      <c r="D1173" s="49"/>
      <c r="E1173" s="49"/>
    </row>
    <row r="1174" spans="1:5">
      <c r="A1174" s="49"/>
      <c r="B1174" s="49"/>
      <c r="C1174" s="49"/>
      <c r="D1174" s="49"/>
      <c r="E1174" s="49"/>
    </row>
    <row r="1175" spans="1:5">
      <c r="A1175" s="49"/>
      <c r="B1175" s="49"/>
      <c r="C1175" s="49"/>
      <c r="D1175" s="49"/>
      <c r="E1175" s="49"/>
    </row>
    <row r="1176" spans="1:5">
      <c r="A1176" s="49"/>
      <c r="B1176" s="49"/>
      <c r="C1176" s="49"/>
      <c r="D1176" s="49"/>
      <c r="E1176" s="49"/>
    </row>
    <row r="1177" spans="1:5">
      <c r="A1177" s="49"/>
      <c r="B1177" s="49"/>
      <c r="C1177" s="49"/>
      <c r="D1177" s="49"/>
      <c r="E1177" s="49"/>
    </row>
    <row r="1178" spans="1:5">
      <c r="A1178" s="49"/>
      <c r="B1178" s="49"/>
      <c r="C1178" s="49"/>
      <c r="D1178" s="49"/>
      <c r="E1178" s="49"/>
    </row>
    <row r="1179" spans="1:5">
      <c r="A1179" s="49"/>
      <c r="B1179" s="49"/>
      <c r="C1179" s="49"/>
      <c r="D1179" s="49"/>
      <c r="E1179" s="49"/>
    </row>
    <row r="1180" spans="1:5">
      <c r="A1180" s="49"/>
      <c r="B1180" s="49"/>
      <c r="C1180" s="49"/>
      <c r="D1180" s="49"/>
      <c r="E1180" s="49"/>
    </row>
    <row r="1181" spans="1:5">
      <c r="A1181" s="49"/>
      <c r="B1181" s="49"/>
      <c r="C1181" s="49"/>
      <c r="D1181" s="49"/>
      <c r="E1181" s="49"/>
    </row>
    <row r="1182" spans="1:5">
      <c r="A1182" s="49"/>
      <c r="B1182" s="49"/>
      <c r="C1182" s="49"/>
      <c r="D1182" s="49"/>
      <c r="E1182" s="49"/>
    </row>
    <row r="1183" spans="1:5">
      <c r="A1183" s="49"/>
      <c r="B1183" s="49"/>
      <c r="C1183" s="49"/>
      <c r="D1183" s="49"/>
      <c r="E1183" s="49"/>
    </row>
    <row r="1184" spans="1:5">
      <c r="A1184" s="49"/>
      <c r="B1184" s="49"/>
      <c r="C1184" s="49"/>
      <c r="D1184" s="49"/>
      <c r="E1184" s="49"/>
    </row>
    <row r="1185" spans="1:5">
      <c r="A1185" s="49"/>
      <c r="B1185" s="49"/>
      <c r="C1185" s="49"/>
      <c r="D1185" s="49"/>
      <c r="E1185" s="49"/>
    </row>
    <row r="1186" spans="1:5">
      <c r="A1186" s="49"/>
      <c r="B1186" s="49"/>
      <c r="C1186" s="49"/>
      <c r="D1186" s="49"/>
      <c r="E1186" s="49"/>
    </row>
    <row r="1187" spans="1:5">
      <c r="A1187" s="49"/>
      <c r="B1187" s="49"/>
      <c r="C1187" s="49"/>
      <c r="D1187" s="49"/>
      <c r="E1187" s="49"/>
    </row>
    <row r="1188" spans="1:5">
      <c r="A1188" s="49"/>
      <c r="B1188" s="49"/>
      <c r="C1188" s="49"/>
      <c r="D1188" s="49"/>
      <c r="E1188" s="49"/>
    </row>
    <row r="1189" spans="1:5">
      <c r="A1189" s="49"/>
      <c r="B1189" s="49"/>
      <c r="C1189" s="49"/>
      <c r="D1189" s="49"/>
      <c r="E1189" s="49"/>
    </row>
    <row r="1190" spans="1:5">
      <c r="A1190" s="49"/>
      <c r="B1190" s="49"/>
      <c r="C1190" s="49"/>
      <c r="D1190" s="49"/>
      <c r="E1190" s="49"/>
    </row>
    <row r="1191" spans="1:5">
      <c r="A1191" s="49"/>
      <c r="B1191" s="49"/>
      <c r="C1191" s="49"/>
      <c r="D1191" s="49"/>
      <c r="E1191" s="49"/>
    </row>
    <row r="1192" spans="1:5">
      <c r="A1192" s="49"/>
      <c r="B1192" s="49"/>
      <c r="C1192" s="49"/>
      <c r="D1192" s="49"/>
      <c r="E1192" s="49"/>
    </row>
    <row r="1193" spans="1:5">
      <c r="A1193" s="49"/>
      <c r="B1193" s="49"/>
      <c r="C1193" s="49"/>
      <c r="D1193" s="49"/>
      <c r="E1193" s="49"/>
    </row>
    <row r="1194" spans="1:5">
      <c r="A1194" s="49"/>
      <c r="B1194" s="49"/>
      <c r="C1194" s="49"/>
      <c r="D1194" s="49"/>
      <c r="E1194" s="49"/>
    </row>
    <row r="1195" spans="1:5">
      <c r="A1195" s="49"/>
      <c r="B1195" s="49"/>
      <c r="C1195" s="49"/>
      <c r="D1195" s="49"/>
      <c r="E1195" s="49"/>
    </row>
    <row r="1196" spans="1:5">
      <c r="A1196" s="49"/>
      <c r="B1196" s="49"/>
      <c r="C1196" s="49"/>
      <c r="D1196" s="49"/>
      <c r="E1196" s="49"/>
    </row>
    <row r="1197" spans="1:5">
      <c r="A1197" s="49"/>
      <c r="B1197" s="49"/>
      <c r="C1197" s="49"/>
      <c r="D1197" s="49"/>
      <c r="E1197" s="49"/>
    </row>
    <row r="1198" spans="1:5">
      <c r="A1198" s="49"/>
      <c r="B1198" s="49"/>
      <c r="C1198" s="49"/>
      <c r="D1198" s="49"/>
      <c r="E1198" s="49"/>
    </row>
    <row r="1199" spans="1:5">
      <c r="A1199" s="49"/>
      <c r="B1199" s="49"/>
      <c r="C1199" s="49"/>
      <c r="D1199" s="49"/>
      <c r="E1199" s="49"/>
    </row>
    <row r="1200" spans="1:5">
      <c r="A1200" s="49"/>
      <c r="B1200" s="49"/>
      <c r="C1200" s="49"/>
      <c r="D1200" s="49"/>
      <c r="E1200" s="49"/>
    </row>
    <row r="1201" spans="1:5">
      <c r="A1201" s="49"/>
      <c r="B1201" s="49"/>
      <c r="C1201" s="49"/>
      <c r="D1201" s="49"/>
      <c r="E1201" s="49"/>
    </row>
    <row r="1202" spans="1:5">
      <c r="A1202" s="49"/>
      <c r="B1202" s="49"/>
      <c r="C1202" s="49"/>
      <c r="D1202" s="49"/>
      <c r="E1202" s="49"/>
    </row>
    <row r="1203" spans="1:5">
      <c r="A1203" s="49"/>
      <c r="B1203" s="49"/>
      <c r="C1203" s="49"/>
      <c r="D1203" s="49"/>
      <c r="E1203" s="49"/>
    </row>
    <row r="1204" spans="1:5">
      <c r="A1204" s="49"/>
      <c r="B1204" s="49"/>
      <c r="C1204" s="49"/>
      <c r="D1204" s="49"/>
      <c r="E1204" s="49"/>
    </row>
    <row r="1205" spans="1:5">
      <c r="A1205" s="49"/>
      <c r="B1205" s="49"/>
      <c r="C1205" s="49"/>
      <c r="D1205" s="49"/>
      <c r="E1205" s="49"/>
    </row>
    <row r="1206" spans="1:5">
      <c r="A1206" s="49"/>
      <c r="B1206" s="49"/>
      <c r="C1206" s="49"/>
      <c r="D1206" s="49"/>
      <c r="E1206" s="49"/>
    </row>
    <row r="1207" spans="1:5">
      <c r="A1207" s="49"/>
      <c r="B1207" s="49"/>
      <c r="C1207" s="49"/>
      <c r="D1207" s="49"/>
      <c r="E1207" s="49"/>
    </row>
    <row r="1208" spans="1:5">
      <c r="A1208" s="49"/>
      <c r="B1208" s="49"/>
      <c r="C1208" s="49"/>
      <c r="D1208" s="49"/>
      <c r="E1208" s="49"/>
    </row>
    <row r="1209" spans="1:5">
      <c r="A1209" s="49"/>
      <c r="B1209" s="49"/>
      <c r="C1209" s="49"/>
      <c r="D1209" s="49"/>
      <c r="E1209" s="49"/>
    </row>
    <row r="1210" spans="1:5">
      <c r="A1210" s="49"/>
      <c r="B1210" s="49"/>
      <c r="C1210" s="49"/>
      <c r="D1210" s="49"/>
      <c r="E1210" s="49"/>
    </row>
    <row r="1211" spans="1:5">
      <c r="A1211" s="49"/>
      <c r="B1211" s="49"/>
      <c r="C1211" s="49"/>
      <c r="D1211" s="49"/>
      <c r="E1211" s="49"/>
    </row>
    <row r="1212" spans="1:5">
      <c r="A1212" s="49"/>
      <c r="B1212" s="49"/>
      <c r="C1212" s="49"/>
      <c r="D1212" s="49"/>
      <c r="E1212" s="49"/>
    </row>
    <row r="1213" spans="1:5">
      <c r="A1213" s="49"/>
      <c r="B1213" s="49"/>
      <c r="C1213" s="49"/>
      <c r="D1213" s="49"/>
      <c r="E1213" s="49"/>
    </row>
    <row r="1214" spans="1:5">
      <c r="A1214" s="49"/>
      <c r="B1214" s="49"/>
      <c r="C1214" s="49"/>
      <c r="D1214" s="49"/>
      <c r="E1214" s="49"/>
    </row>
    <row r="1215" spans="1:5">
      <c r="A1215" s="49"/>
      <c r="B1215" s="49"/>
      <c r="C1215" s="49"/>
      <c r="D1215" s="49"/>
      <c r="E1215" s="49"/>
    </row>
    <row r="1216" spans="1:5">
      <c r="A1216" s="49"/>
      <c r="B1216" s="49"/>
      <c r="C1216" s="49"/>
      <c r="D1216" s="49"/>
      <c r="E1216" s="49"/>
    </row>
    <row r="1217" spans="1:5">
      <c r="A1217" s="49"/>
      <c r="B1217" s="49"/>
      <c r="C1217" s="49"/>
      <c r="D1217" s="49"/>
      <c r="E1217" s="49"/>
    </row>
    <row r="1218" spans="1:5">
      <c r="A1218" s="49"/>
      <c r="B1218" s="49"/>
      <c r="C1218" s="49"/>
      <c r="D1218" s="49"/>
      <c r="E1218" s="49"/>
    </row>
    <row r="1219" spans="1:5">
      <c r="A1219" s="49"/>
      <c r="B1219" s="49"/>
      <c r="C1219" s="49"/>
      <c r="D1219" s="49"/>
      <c r="E1219" s="49"/>
    </row>
    <row r="1220" spans="1:5">
      <c r="A1220" s="49"/>
      <c r="B1220" s="49"/>
      <c r="C1220" s="49"/>
      <c r="D1220" s="49"/>
      <c r="E1220" s="49"/>
    </row>
    <row r="1221" spans="1:5">
      <c r="A1221" s="49"/>
      <c r="B1221" s="49"/>
      <c r="C1221" s="49"/>
      <c r="D1221" s="49"/>
      <c r="E1221" s="49"/>
    </row>
    <row r="1222" spans="1:5">
      <c r="A1222" s="49"/>
      <c r="B1222" s="49"/>
      <c r="C1222" s="49"/>
      <c r="D1222" s="49"/>
      <c r="E1222" s="49"/>
    </row>
    <row r="1223" spans="1:5">
      <c r="A1223" s="49"/>
      <c r="B1223" s="49"/>
      <c r="C1223" s="49"/>
      <c r="D1223" s="49"/>
      <c r="E1223" s="49"/>
    </row>
    <row r="1224" spans="1:5">
      <c r="A1224" s="49"/>
      <c r="B1224" s="49"/>
      <c r="C1224" s="49"/>
      <c r="D1224" s="49"/>
      <c r="E1224" s="49"/>
    </row>
    <row r="1225" spans="1:5">
      <c r="A1225" s="49"/>
      <c r="B1225" s="49"/>
      <c r="C1225" s="49"/>
      <c r="D1225" s="49"/>
      <c r="E1225" s="49"/>
    </row>
    <row r="1226" spans="1:5">
      <c r="A1226" s="49"/>
      <c r="B1226" s="49"/>
      <c r="C1226" s="49"/>
      <c r="D1226" s="49"/>
      <c r="E1226" s="49"/>
    </row>
    <row r="1227" spans="1:5">
      <c r="A1227" s="49"/>
      <c r="B1227" s="49"/>
      <c r="C1227" s="49"/>
      <c r="D1227" s="49"/>
      <c r="E1227" s="49"/>
    </row>
    <row r="1228" spans="1:5">
      <c r="A1228" s="49"/>
      <c r="B1228" s="49"/>
      <c r="C1228" s="49"/>
      <c r="D1228" s="49"/>
      <c r="E1228" s="49"/>
    </row>
    <row r="1229" spans="1:5">
      <c r="A1229" s="49"/>
      <c r="B1229" s="49"/>
      <c r="C1229" s="49"/>
      <c r="D1229" s="49"/>
      <c r="E1229" s="49"/>
    </row>
    <row r="1230" spans="1:5">
      <c r="A1230" s="49"/>
      <c r="B1230" s="49"/>
      <c r="C1230" s="49"/>
      <c r="D1230" s="49"/>
      <c r="E1230" s="49"/>
    </row>
    <row r="1231" spans="1:5">
      <c r="A1231" s="49"/>
      <c r="B1231" s="49"/>
      <c r="C1231" s="49"/>
      <c r="D1231" s="49"/>
      <c r="E1231" s="49"/>
    </row>
    <row r="1232" spans="1:5">
      <c r="A1232" s="49"/>
      <c r="B1232" s="49"/>
      <c r="C1232" s="49"/>
      <c r="D1232" s="49"/>
      <c r="E1232" s="49"/>
    </row>
    <row r="1233" spans="1:5">
      <c r="A1233" s="49"/>
      <c r="B1233" s="49"/>
      <c r="C1233" s="49"/>
      <c r="D1233" s="49"/>
      <c r="E1233" s="49"/>
    </row>
    <row r="1234" spans="1:5">
      <c r="A1234" s="49"/>
      <c r="B1234" s="49"/>
      <c r="C1234" s="49"/>
      <c r="D1234" s="49"/>
      <c r="E1234" s="49"/>
    </row>
    <row r="1235" spans="1:5">
      <c r="A1235" s="49"/>
      <c r="B1235" s="49"/>
      <c r="C1235" s="49"/>
      <c r="D1235" s="49"/>
      <c r="E1235" s="49"/>
    </row>
    <row r="1236" spans="1:5">
      <c r="A1236" s="49"/>
      <c r="B1236" s="49"/>
      <c r="C1236" s="49"/>
      <c r="D1236" s="49"/>
      <c r="E1236" s="49"/>
    </row>
    <row r="1237" spans="1:5">
      <c r="A1237" s="49"/>
      <c r="B1237" s="49"/>
      <c r="C1237" s="49"/>
      <c r="D1237" s="49"/>
      <c r="E1237" s="49"/>
    </row>
    <row r="1238" spans="1:5">
      <c r="A1238" s="49"/>
      <c r="B1238" s="49"/>
      <c r="C1238" s="49"/>
      <c r="D1238" s="49"/>
      <c r="E1238" s="49"/>
    </row>
    <row r="1239" spans="1:5">
      <c r="A1239" s="49"/>
      <c r="B1239" s="49"/>
      <c r="C1239" s="49"/>
      <c r="D1239" s="49"/>
      <c r="E1239" s="49"/>
    </row>
    <row r="1240" spans="1:5">
      <c r="A1240" s="49"/>
      <c r="B1240" s="49"/>
      <c r="C1240" s="49"/>
      <c r="D1240" s="49"/>
      <c r="E1240" s="49"/>
    </row>
    <row r="1241" spans="1:5">
      <c r="A1241" s="49"/>
      <c r="B1241" s="49"/>
      <c r="C1241" s="49"/>
      <c r="D1241" s="49"/>
      <c r="E1241" s="49"/>
    </row>
    <row r="1242" spans="1:5">
      <c r="A1242" s="49"/>
      <c r="B1242" s="49"/>
      <c r="C1242" s="49"/>
      <c r="D1242" s="49"/>
      <c r="E1242" s="49"/>
    </row>
    <row r="1243" spans="1:5">
      <c r="A1243" s="49"/>
      <c r="B1243" s="49"/>
      <c r="C1243" s="49"/>
      <c r="D1243" s="49"/>
      <c r="E1243" s="49"/>
    </row>
    <row r="1244" spans="1:5">
      <c r="A1244" s="49"/>
      <c r="B1244" s="49"/>
      <c r="C1244" s="49"/>
      <c r="D1244" s="49"/>
      <c r="E1244" s="49"/>
    </row>
    <row r="1245" spans="1:5">
      <c r="A1245" s="49"/>
      <c r="B1245" s="49"/>
      <c r="C1245" s="49"/>
      <c r="D1245" s="49"/>
      <c r="E1245" s="49"/>
    </row>
    <row r="1246" spans="1:5">
      <c r="A1246" s="49"/>
      <c r="B1246" s="49"/>
      <c r="C1246" s="49"/>
      <c r="D1246" s="49"/>
      <c r="E1246" s="49"/>
    </row>
    <row r="1247" spans="1:5">
      <c r="A1247" s="49"/>
      <c r="B1247" s="49"/>
      <c r="C1247" s="49"/>
      <c r="D1247" s="49"/>
      <c r="E1247" s="49"/>
    </row>
    <row r="1248" spans="1:5">
      <c r="A1248" s="49"/>
      <c r="B1248" s="49"/>
      <c r="C1248" s="49"/>
      <c r="D1248" s="49"/>
      <c r="E1248" s="49"/>
    </row>
    <row r="1249" spans="1:5">
      <c r="A1249" s="49"/>
      <c r="B1249" s="49"/>
      <c r="C1249" s="49"/>
      <c r="D1249" s="49"/>
      <c r="E1249" s="49"/>
    </row>
    <row r="1250" spans="1:5">
      <c r="A1250" s="49"/>
      <c r="B1250" s="49"/>
      <c r="C1250" s="49"/>
      <c r="D1250" s="49"/>
      <c r="E1250" s="49"/>
    </row>
    <row r="1251" spans="1:5">
      <c r="A1251" s="49"/>
      <c r="B1251" s="49"/>
      <c r="C1251" s="49"/>
      <c r="D1251" s="49"/>
      <c r="E1251" s="49"/>
    </row>
    <row r="1252" spans="1:5">
      <c r="A1252" s="49"/>
      <c r="B1252" s="49"/>
      <c r="C1252" s="49"/>
      <c r="D1252" s="49"/>
      <c r="E1252" s="49"/>
    </row>
    <row r="1253" spans="1:5">
      <c r="A1253" s="49"/>
      <c r="B1253" s="49"/>
      <c r="C1253" s="49"/>
      <c r="D1253" s="49"/>
      <c r="E1253" s="49"/>
    </row>
    <row r="1254" spans="1:5">
      <c r="A1254" s="49"/>
      <c r="B1254" s="49"/>
      <c r="C1254" s="49"/>
      <c r="D1254" s="49"/>
      <c r="E1254" s="49"/>
    </row>
    <row r="1255" spans="1:5">
      <c r="A1255" s="49"/>
      <c r="B1255" s="49"/>
      <c r="C1255" s="49"/>
      <c r="D1255" s="49"/>
      <c r="E1255" s="49"/>
    </row>
    <row r="1256" spans="1:5">
      <c r="A1256" s="49"/>
      <c r="B1256" s="49"/>
      <c r="C1256" s="49"/>
      <c r="D1256" s="49"/>
      <c r="E1256" s="49"/>
    </row>
    <row r="1257" spans="1:5">
      <c r="A1257" s="49"/>
      <c r="B1257" s="49"/>
      <c r="C1257" s="49"/>
      <c r="D1257" s="49"/>
      <c r="E1257" s="49"/>
    </row>
    <row r="1258" spans="1:5">
      <c r="A1258" s="49"/>
      <c r="B1258" s="49"/>
      <c r="C1258" s="49"/>
      <c r="D1258" s="49"/>
      <c r="E1258" s="49"/>
    </row>
    <row r="1259" spans="1:5">
      <c r="A1259" s="49"/>
      <c r="B1259" s="49"/>
      <c r="C1259" s="49"/>
      <c r="D1259" s="49"/>
      <c r="E1259" s="49"/>
    </row>
    <row r="1260" spans="1:5">
      <c r="A1260" s="49"/>
      <c r="B1260" s="49"/>
      <c r="C1260" s="49"/>
      <c r="D1260" s="49"/>
      <c r="E1260" s="49"/>
    </row>
    <row r="1261" spans="1:5">
      <c r="A1261" s="49"/>
      <c r="B1261" s="49"/>
      <c r="C1261" s="49"/>
      <c r="D1261" s="49"/>
      <c r="E1261" s="49"/>
    </row>
    <row r="1262" spans="1:5">
      <c r="A1262" s="49"/>
      <c r="B1262" s="49"/>
      <c r="C1262" s="49"/>
      <c r="D1262" s="49"/>
      <c r="E1262" s="49"/>
    </row>
    <row r="1263" spans="1:5">
      <c r="A1263" s="49"/>
      <c r="B1263" s="49"/>
      <c r="C1263" s="49"/>
      <c r="D1263" s="49"/>
      <c r="E1263" s="49"/>
    </row>
    <row r="1264" spans="1:5">
      <c r="A1264" s="49"/>
      <c r="B1264" s="49"/>
      <c r="C1264" s="49"/>
      <c r="D1264" s="49"/>
      <c r="E1264" s="49"/>
    </row>
    <row r="1265" spans="1:5">
      <c r="A1265" s="49"/>
      <c r="B1265" s="49"/>
      <c r="C1265" s="49"/>
      <c r="D1265" s="49"/>
      <c r="E1265" s="49"/>
    </row>
    <row r="1266" spans="1:5">
      <c r="A1266" s="49"/>
      <c r="B1266" s="49"/>
      <c r="C1266" s="49"/>
      <c r="D1266" s="49"/>
      <c r="E1266" s="49"/>
    </row>
    <row r="1267" spans="1:5">
      <c r="A1267" s="49"/>
      <c r="B1267" s="49"/>
      <c r="C1267" s="49"/>
      <c r="D1267" s="49"/>
      <c r="E1267" s="49"/>
    </row>
    <row r="1268" spans="1:5">
      <c r="A1268" s="49"/>
      <c r="B1268" s="49"/>
      <c r="C1268" s="49"/>
      <c r="D1268" s="49"/>
      <c r="E1268" s="49"/>
    </row>
    <row r="1269" spans="1:5">
      <c r="A1269" s="49"/>
      <c r="B1269" s="49"/>
      <c r="C1269" s="49"/>
      <c r="D1269" s="49"/>
      <c r="E1269" s="49"/>
    </row>
    <row r="1270" spans="1:5">
      <c r="A1270" s="49"/>
      <c r="B1270" s="49"/>
      <c r="C1270" s="49"/>
      <c r="D1270" s="49"/>
      <c r="E1270" s="49"/>
    </row>
    <row r="1271" spans="1:5">
      <c r="A1271" s="49"/>
      <c r="B1271" s="49"/>
      <c r="C1271" s="49"/>
      <c r="D1271" s="49"/>
      <c r="E1271" s="49"/>
    </row>
    <row r="1272" spans="1:5">
      <c r="A1272" s="49"/>
      <c r="B1272" s="49"/>
      <c r="C1272" s="49"/>
      <c r="D1272" s="49"/>
      <c r="E1272" s="49"/>
    </row>
    <row r="1273" spans="1:5">
      <c r="A1273" s="49"/>
      <c r="B1273" s="49"/>
      <c r="C1273" s="49"/>
      <c r="D1273" s="49"/>
      <c r="E1273" s="49"/>
    </row>
    <row r="1274" spans="1:5">
      <c r="A1274" s="49"/>
      <c r="B1274" s="49"/>
      <c r="C1274" s="49"/>
      <c r="D1274" s="49"/>
      <c r="E1274" s="49"/>
    </row>
    <row r="1275" spans="1:5">
      <c r="A1275" s="49"/>
      <c r="B1275" s="49"/>
      <c r="C1275" s="49"/>
      <c r="D1275" s="49"/>
      <c r="E1275" s="49"/>
    </row>
    <row r="1276" spans="1:5">
      <c r="A1276" s="49"/>
      <c r="B1276" s="49"/>
      <c r="C1276" s="49"/>
      <c r="D1276" s="49"/>
      <c r="E1276" s="49"/>
    </row>
    <row r="1277" spans="1:5">
      <c r="A1277" s="49"/>
      <c r="B1277" s="49"/>
      <c r="C1277" s="49"/>
      <c r="D1277" s="49"/>
      <c r="E1277" s="49"/>
    </row>
    <row r="1278" spans="1:5">
      <c r="A1278" s="49"/>
      <c r="B1278" s="49"/>
      <c r="C1278" s="49"/>
      <c r="D1278" s="49"/>
      <c r="E1278" s="49"/>
    </row>
    <row r="1279" spans="1:5">
      <c r="A1279" s="49"/>
      <c r="B1279" s="49"/>
      <c r="C1279" s="49"/>
      <c r="D1279" s="49"/>
      <c r="E1279" s="49"/>
    </row>
    <row r="1280" spans="1:5">
      <c r="A1280" s="49"/>
      <c r="B1280" s="49"/>
      <c r="C1280" s="49"/>
      <c r="D1280" s="49"/>
      <c r="E1280" s="49"/>
    </row>
    <row r="1281" spans="1:5">
      <c r="A1281" s="49"/>
      <c r="B1281" s="49"/>
      <c r="C1281" s="49"/>
      <c r="D1281" s="49"/>
      <c r="E1281" s="49"/>
    </row>
    <row r="1282" spans="1:5">
      <c r="A1282" s="49"/>
      <c r="B1282" s="49"/>
      <c r="C1282" s="49"/>
      <c r="D1282" s="49"/>
      <c r="E1282" s="49"/>
    </row>
    <row r="1283" spans="1:5">
      <c r="A1283" s="49"/>
      <c r="B1283" s="49"/>
      <c r="C1283" s="49"/>
      <c r="D1283" s="49"/>
      <c r="E1283" s="49"/>
    </row>
    <row r="1284" spans="1:5">
      <c r="A1284" s="49"/>
      <c r="B1284" s="49"/>
      <c r="C1284" s="49"/>
      <c r="D1284" s="49"/>
      <c r="E1284" s="49"/>
    </row>
    <row r="1285" spans="1:5">
      <c r="A1285" s="49"/>
      <c r="B1285" s="49"/>
      <c r="C1285" s="49"/>
      <c r="D1285" s="49"/>
      <c r="E1285" s="49"/>
    </row>
    <row r="1286" spans="1:5">
      <c r="A1286" s="49"/>
      <c r="B1286" s="49"/>
      <c r="C1286" s="49"/>
      <c r="D1286" s="49"/>
      <c r="E1286" s="49"/>
    </row>
    <row r="1287" spans="1:5">
      <c r="A1287" s="49"/>
      <c r="B1287" s="49"/>
      <c r="C1287" s="49"/>
      <c r="D1287" s="49"/>
      <c r="E1287" s="49"/>
    </row>
    <row r="1288" spans="1:5">
      <c r="A1288" s="49"/>
      <c r="B1288" s="49"/>
      <c r="C1288" s="49"/>
      <c r="D1288" s="49"/>
      <c r="E1288" s="49"/>
    </row>
    <row r="1289" spans="1:5">
      <c r="A1289" s="49"/>
      <c r="B1289" s="49"/>
      <c r="C1289" s="49"/>
      <c r="D1289" s="49"/>
      <c r="E1289" s="49"/>
    </row>
    <row r="1290" spans="1:5">
      <c r="A1290" s="49"/>
      <c r="B1290" s="49"/>
      <c r="C1290" s="49"/>
      <c r="D1290" s="49"/>
      <c r="E1290" s="49"/>
    </row>
    <row r="1291" spans="1:5">
      <c r="A1291" s="49"/>
      <c r="B1291" s="49"/>
      <c r="C1291" s="49"/>
      <c r="D1291" s="49"/>
      <c r="E1291" s="49"/>
    </row>
    <row r="1292" spans="1:5">
      <c r="A1292" s="49"/>
      <c r="B1292" s="49"/>
      <c r="C1292" s="49"/>
      <c r="D1292" s="49"/>
      <c r="E1292" s="49"/>
    </row>
    <row r="1293" spans="1:5">
      <c r="A1293" s="49"/>
      <c r="B1293" s="49"/>
      <c r="C1293" s="49"/>
      <c r="D1293" s="49"/>
      <c r="E1293" s="49"/>
    </row>
    <row r="1294" spans="1:5">
      <c r="A1294" s="49"/>
      <c r="B1294" s="49"/>
      <c r="C1294" s="49"/>
      <c r="D1294" s="49"/>
      <c r="E1294" s="49"/>
    </row>
    <row r="1295" spans="1:5">
      <c r="A1295" s="49"/>
      <c r="B1295" s="49"/>
      <c r="C1295" s="49"/>
      <c r="D1295" s="49"/>
      <c r="E1295" s="49"/>
    </row>
    <row r="1296" spans="1:5">
      <c r="A1296" s="49"/>
      <c r="B1296" s="49"/>
      <c r="C1296" s="49"/>
      <c r="D1296" s="49"/>
      <c r="E1296" s="49"/>
    </row>
    <row r="1297" spans="1:5">
      <c r="A1297" s="49"/>
      <c r="B1297" s="49"/>
      <c r="C1297" s="49"/>
      <c r="D1297" s="49"/>
      <c r="E1297" s="49"/>
    </row>
    <row r="1298" spans="1:5">
      <c r="A1298" s="49"/>
      <c r="B1298" s="49"/>
      <c r="C1298" s="49"/>
      <c r="D1298" s="49"/>
      <c r="E1298" s="49"/>
    </row>
    <row r="1299" spans="1:5">
      <c r="A1299" s="49"/>
      <c r="B1299" s="49"/>
      <c r="C1299" s="49"/>
      <c r="D1299" s="49"/>
      <c r="E1299" s="49"/>
    </row>
    <row r="1300" spans="1:5">
      <c r="A1300" s="49"/>
      <c r="B1300" s="49"/>
      <c r="C1300" s="49"/>
      <c r="D1300" s="49"/>
      <c r="E1300" s="49"/>
    </row>
    <row r="1301" spans="1:5">
      <c r="A1301" s="49"/>
      <c r="B1301" s="49"/>
      <c r="C1301" s="49"/>
      <c r="D1301" s="49"/>
      <c r="E1301" s="49"/>
    </row>
    <row r="1302" spans="1:5">
      <c r="A1302" s="49"/>
      <c r="B1302" s="49"/>
      <c r="C1302" s="49"/>
      <c r="D1302" s="49"/>
      <c r="E1302" s="49"/>
    </row>
    <row r="1303" spans="1:5">
      <c r="A1303" s="49"/>
      <c r="B1303" s="49"/>
      <c r="C1303" s="49"/>
      <c r="D1303" s="49"/>
      <c r="E1303" s="49"/>
    </row>
    <row r="1304" spans="1:5">
      <c r="A1304" s="49"/>
      <c r="B1304" s="49"/>
      <c r="C1304" s="49"/>
      <c r="D1304" s="49"/>
      <c r="E1304" s="49"/>
    </row>
    <row r="1305" spans="1:5">
      <c r="A1305" s="49"/>
      <c r="B1305" s="49"/>
      <c r="C1305" s="49"/>
      <c r="D1305" s="49"/>
      <c r="E1305" s="49"/>
    </row>
    <row r="1306" spans="1:5">
      <c r="A1306" s="49"/>
      <c r="B1306" s="49"/>
      <c r="C1306" s="49"/>
      <c r="D1306" s="49"/>
      <c r="E1306" s="49"/>
    </row>
    <row r="1307" spans="1:5">
      <c r="A1307" s="49"/>
      <c r="B1307" s="49"/>
      <c r="C1307" s="49"/>
      <c r="D1307" s="49"/>
      <c r="E1307" s="49"/>
    </row>
    <row r="1308" spans="1:5">
      <c r="A1308" s="49"/>
      <c r="B1308" s="49"/>
      <c r="C1308" s="49"/>
      <c r="D1308" s="49"/>
      <c r="E1308" s="49"/>
    </row>
    <row r="1309" spans="1:5">
      <c r="A1309" s="49"/>
      <c r="B1309" s="49"/>
      <c r="C1309" s="49"/>
      <c r="D1309" s="49"/>
      <c r="E1309" s="49"/>
    </row>
    <row r="1310" spans="1:5">
      <c r="A1310" s="49"/>
      <c r="B1310" s="49"/>
      <c r="C1310" s="49"/>
      <c r="D1310" s="49"/>
      <c r="E1310" s="49"/>
    </row>
    <row r="1311" spans="1:5">
      <c r="A1311" s="49"/>
      <c r="B1311" s="49"/>
      <c r="C1311" s="49"/>
      <c r="D1311" s="49"/>
      <c r="E1311" s="49"/>
    </row>
    <row r="1312" spans="1:5">
      <c r="A1312" s="49"/>
      <c r="B1312" s="49"/>
      <c r="C1312" s="49"/>
      <c r="D1312" s="49"/>
      <c r="E1312" s="49"/>
    </row>
    <row r="1313" spans="1:5">
      <c r="A1313" s="49"/>
      <c r="B1313" s="49"/>
      <c r="C1313" s="49"/>
      <c r="D1313" s="49"/>
      <c r="E1313" s="49"/>
    </row>
    <row r="1314" spans="1:5">
      <c r="A1314" s="49"/>
      <c r="B1314" s="49"/>
      <c r="C1314" s="49"/>
      <c r="D1314" s="49"/>
      <c r="E1314" s="49"/>
    </row>
    <row r="1315" spans="1:5">
      <c r="A1315" s="49"/>
      <c r="B1315" s="49"/>
      <c r="C1315" s="49"/>
      <c r="D1315" s="49"/>
      <c r="E1315" s="49"/>
    </row>
    <row r="1316" spans="1:5">
      <c r="A1316" s="49"/>
      <c r="B1316" s="49"/>
      <c r="C1316" s="49"/>
      <c r="D1316" s="49"/>
      <c r="E1316" s="49"/>
    </row>
    <row r="1317" spans="1:5">
      <c r="A1317" s="49"/>
      <c r="B1317" s="49"/>
      <c r="C1317" s="49"/>
      <c r="D1317" s="49"/>
      <c r="E1317" s="49"/>
    </row>
    <row r="1318" spans="1:5">
      <c r="A1318" s="49"/>
      <c r="B1318" s="49"/>
      <c r="C1318" s="49"/>
      <c r="D1318" s="49"/>
      <c r="E1318" s="49"/>
    </row>
    <row r="1319" spans="1:5">
      <c r="A1319" s="49"/>
      <c r="B1319" s="49"/>
      <c r="C1319" s="49"/>
      <c r="D1319" s="49"/>
      <c r="E1319" s="49"/>
    </row>
    <row r="1320" spans="1:5">
      <c r="A1320" s="49"/>
      <c r="B1320" s="49"/>
      <c r="C1320" s="49"/>
      <c r="D1320" s="49"/>
      <c r="E1320" s="49"/>
    </row>
    <row r="1321" spans="1:5">
      <c r="A1321" s="49"/>
      <c r="B1321" s="49"/>
      <c r="C1321" s="49"/>
      <c r="D1321" s="49"/>
      <c r="E1321" s="49"/>
    </row>
    <row r="1322" spans="1:5">
      <c r="A1322" s="49"/>
      <c r="B1322" s="49"/>
      <c r="C1322" s="49"/>
      <c r="D1322" s="49"/>
      <c r="E1322" s="49"/>
    </row>
    <row r="1323" spans="1:5">
      <c r="A1323" s="49"/>
      <c r="B1323" s="49"/>
      <c r="C1323" s="49"/>
      <c r="D1323" s="49"/>
      <c r="E1323" s="49"/>
    </row>
    <row r="1324" spans="1:5">
      <c r="A1324" s="49"/>
      <c r="B1324" s="49"/>
      <c r="C1324" s="49"/>
      <c r="D1324" s="49"/>
      <c r="E1324" s="49"/>
    </row>
    <row r="1325" spans="1:5">
      <c r="A1325" s="49"/>
      <c r="B1325" s="49"/>
      <c r="C1325" s="49"/>
      <c r="D1325" s="49"/>
      <c r="E1325" s="49"/>
    </row>
    <row r="1326" spans="1:5">
      <c r="A1326" s="49"/>
      <c r="B1326" s="49"/>
      <c r="C1326" s="49"/>
      <c r="D1326" s="49"/>
      <c r="E1326" s="49"/>
    </row>
    <row r="1327" spans="1:5">
      <c r="A1327" s="49"/>
      <c r="B1327" s="49"/>
      <c r="C1327" s="49"/>
      <c r="D1327" s="49"/>
      <c r="E1327" s="49"/>
    </row>
    <row r="1328" spans="1:5">
      <c r="A1328" s="49"/>
      <c r="B1328" s="49"/>
      <c r="C1328" s="49"/>
      <c r="D1328" s="49"/>
      <c r="E1328" s="49"/>
    </row>
    <row r="1329" spans="1:5">
      <c r="A1329" s="49"/>
      <c r="B1329" s="49"/>
      <c r="C1329" s="49"/>
      <c r="D1329" s="49"/>
      <c r="E1329" s="49"/>
    </row>
    <row r="1330" spans="1:5">
      <c r="A1330" s="49"/>
      <c r="B1330" s="49"/>
      <c r="C1330" s="49"/>
      <c r="D1330" s="49"/>
      <c r="E1330" s="49"/>
    </row>
    <row r="1331" spans="1:5">
      <c r="A1331" s="49"/>
      <c r="B1331" s="49"/>
      <c r="C1331" s="49"/>
      <c r="D1331" s="49"/>
      <c r="E1331" s="49"/>
    </row>
    <row r="1332" spans="1:5">
      <c r="A1332" s="49"/>
      <c r="B1332" s="49"/>
      <c r="C1332" s="49"/>
      <c r="D1332" s="49"/>
      <c r="E1332" s="49"/>
    </row>
    <row r="1333" spans="1:5">
      <c r="A1333" s="49"/>
      <c r="B1333" s="49"/>
      <c r="C1333" s="49"/>
      <c r="D1333" s="49"/>
      <c r="E1333" s="49"/>
    </row>
    <row r="1334" spans="1:5">
      <c r="A1334" s="49"/>
      <c r="B1334" s="49"/>
      <c r="C1334" s="49"/>
      <c r="D1334" s="49"/>
      <c r="E1334" s="49"/>
    </row>
    <row r="1335" spans="1:5">
      <c r="A1335" s="49"/>
      <c r="B1335" s="49"/>
      <c r="C1335" s="49"/>
      <c r="D1335" s="49"/>
      <c r="E1335" s="49"/>
    </row>
    <row r="1336" spans="1:5">
      <c r="A1336" s="49"/>
      <c r="B1336" s="49"/>
      <c r="C1336" s="49"/>
      <c r="D1336" s="49"/>
      <c r="E1336" s="49"/>
    </row>
    <row r="1337" spans="1:5">
      <c r="A1337" s="49"/>
      <c r="B1337" s="49"/>
      <c r="C1337" s="49"/>
      <c r="D1337" s="49"/>
      <c r="E1337" s="49"/>
    </row>
    <row r="1338" spans="1:5">
      <c r="A1338" s="49"/>
      <c r="B1338" s="49"/>
      <c r="C1338" s="49"/>
      <c r="D1338" s="49"/>
      <c r="E1338" s="49"/>
    </row>
    <row r="1339" spans="1:5">
      <c r="A1339" s="49"/>
      <c r="B1339" s="49"/>
      <c r="C1339" s="49"/>
      <c r="D1339" s="49"/>
      <c r="E1339" s="49"/>
    </row>
    <row r="1340" spans="1:5">
      <c r="A1340" s="49"/>
      <c r="B1340" s="49"/>
      <c r="C1340" s="49"/>
      <c r="D1340" s="49"/>
      <c r="E1340" s="49"/>
    </row>
    <row r="1341" spans="1:5">
      <c r="A1341" s="49"/>
      <c r="B1341" s="49"/>
      <c r="C1341" s="49"/>
      <c r="D1341" s="49"/>
      <c r="E1341" s="49"/>
    </row>
    <row r="1342" spans="1:5">
      <c r="A1342" s="49"/>
      <c r="B1342" s="49"/>
      <c r="C1342" s="49"/>
      <c r="D1342" s="49"/>
      <c r="E1342" s="49"/>
    </row>
    <row r="1343" spans="1:5">
      <c r="A1343" s="49"/>
      <c r="B1343" s="49"/>
      <c r="C1343" s="49"/>
      <c r="D1343" s="49"/>
      <c r="E1343" s="49"/>
    </row>
    <row r="1344" spans="1:5">
      <c r="A1344" s="49"/>
      <c r="B1344" s="49"/>
      <c r="C1344" s="49"/>
      <c r="D1344" s="49"/>
      <c r="E1344" s="49"/>
    </row>
    <row r="1345" spans="1:5">
      <c r="A1345" s="49"/>
      <c r="B1345" s="49"/>
      <c r="C1345" s="49"/>
      <c r="D1345" s="49"/>
      <c r="E1345" s="49"/>
    </row>
    <row r="1346" spans="1:5">
      <c r="A1346" s="49"/>
      <c r="B1346" s="49"/>
      <c r="C1346" s="49"/>
      <c r="D1346" s="49"/>
      <c r="E1346" s="49"/>
    </row>
    <row r="1347" spans="1:5">
      <c r="A1347" s="49"/>
      <c r="B1347" s="49"/>
      <c r="C1347" s="49"/>
      <c r="D1347" s="49"/>
      <c r="E1347" s="49"/>
    </row>
    <row r="1348" spans="1:5">
      <c r="A1348" s="49"/>
      <c r="B1348" s="49"/>
      <c r="C1348" s="49"/>
      <c r="D1348" s="49"/>
      <c r="E1348" s="49"/>
    </row>
    <row r="1349" spans="1:5">
      <c r="A1349" s="49"/>
      <c r="B1349" s="49"/>
      <c r="C1349" s="49"/>
      <c r="D1349" s="49"/>
      <c r="E1349" s="49"/>
    </row>
    <row r="1350" spans="1:5">
      <c r="A1350" s="49"/>
      <c r="B1350" s="49"/>
      <c r="C1350" s="49"/>
      <c r="D1350" s="49"/>
      <c r="E1350" s="49"/>
    </row>
    <row r="1351" spans="1:5">
      <c r="A1351" s="49"/>
      <c r="B1351" s="49"/>
      <c r="C1351" s="49"/>
      <c r="D1351" s="49"/>
      <c r="E1351" s="49"/>
    </row>
    <row r="1352" spans="1:5">
      <c r="A1352" s="49"/>
      <c r="B1352" s="49"/>
      <c r="C1352" s="49"/>
      <c r="D1352" s="49"/>
      <c r="E1352" s="49"/>
    </row>
    <row r="1353" spans="1:5">
      <c r="A1353" s="49"/>
      <c r="B1353" s="49"/>
      <c r="C1353" s="49"/>
      <c r="D1353" s="49"/>
      <c r="E1353" s="49"/>
    </row>
    <row r="1354" spans="1:5">
      <c r="A1354" s="49"/>
      <c r="B1354" s="49"/>
      <c r="C1354" s="49"/>
      <c r="D1354" s="49"/>
      <c r="E1354" s="49"/>
    </row>
    <row r="1355" spans="1:5">
      <c r="A1355" s="49"/>
      <c r="B1355" s="49"/>
      <c r="C1355" s="49"/>
      <c r="D1355" s="49"/>
      <c r="E1355" s="49"/>
    </row>
    <row r="1356" spans="1:5">
      <c r="A1356" s="49"/>
      <c r="B1356" s="49"/>
      <c r="C1356" s="49"/>
      <c r="D1356" s="49"/>
      <c r="E1356" s="49"/>
    </row>
    <row r="1357" spans="1:5">
      <c r="A1357" s="49"/>
      <c r="B1357" s="49"/>
      <c r="C1357" s="49"/>
      <c r="D1357" s="49"/>
      <c r="E1357" s="49"/>
    </row>
    <row r="1358" spans="1:5">
      <c r="A1358" s="49"/>
      <c r="B1358" s="49"/>
      <c r="C1358" s="49"/>
      <c r="D1358" s="49"/>
      <c r="E1358" s="49"/>
    </row>
    <row r="1359" spans="1:5">
      <c r="A1359" s="49"/>
      <c r="B1359" s="49"/>
      <c r="C1359" s="49"/>
      <c r="D1359" s="49"/>
      <c r="E1359" s="49"/>
    </row>
    <row r="1360" spans="1:5">
      <c r="A1360" s="49"/>
      <c r="B1360" s="49"/>
      <c r="C1360" s="49"/>
      <c r="D1360" s="49"/>
      <c r="E1360" s="49"/>
    </row>
    <row r="1361" spans="1:5">
      <c r="A1361" s="49"/>
      <c r="B1361" s="49"/>
      <c r="C1361" s="49"/>
      <c r="D1361" s="49"/>
      <c r="E1361" s="49"/>
    </row>
    <row r="1362" spans="1:5">
      <c r="A1362" s="49"/>
      <c r="B1362" s="49"/>
      <c r="C1362" s="49"/>
      <c r="D1362" s="49"/>
      <c r="E1362" s="49"/>
    </row>
    <row r="1363" spans="1:5">
      <c r="A1363" s="49"/>
      <c r="B1363" s="49"/>
      <c r="C1363" s="49"/>
      <c r="D1363" s="49"/>
      <c r="E1363" s="49"/>
    </row>
    <row r="1364" spans="1:5">
      <c r="A1364" s="49"/>
      <c r="B1364" s="49"/>
      <c r="C1364" s="49"/>
      <c r="D1364" s="49"/>
      <c r="E1364" s="49"/>
    </row>
    <row r="1365" spans="1:5">
      <c r="A1365" s="49"/>
      <c r="B1365" s="49"/>
      <c r="C1365" s="49"/>
      <c r="D1365" s="49"/>
      <c r="E1365" s="49"/>
    </row>
    <row r="1366" spans="1:5">
      <c r="A1366" s="49"/>
      <c r="B1366" s="49"/>
      <c r="C1366" s="49"/>
      <c r="D1366" s="49"/>
      <c r="E1366" s="49"/>
    </row>
    <row r="1367" spans="1:5">
      <c r="A1367" s="49"/>
      <c r="B1367" s="49"/>
      <c r="C1367" s="49"/>
      <c r="D1367" s="49"/>
      <c r="E1367" s="49"/>
    </row>
    <row r="1368" spans="1:5">
      <c r="A1368" s="49"/>
      <c r="B1368" s="49"/>
      <c r="C1368" s="49"/>
      <c r="D1368" s="49"/>
      <c r="E1368" s="49"/>
    </row>
    <row r="1369" spans="1:5">
      <c r="A1369" s="49"/>
      <c r="B1369" s="49"/>
      <c r="C1369" s="49"/>
      <c r="D1369" s="49"/>
      <c r="E1369" s="49"/>
    </row>
    <row r="1370" spans="1:5">
      <c r="A1370" s="49"/>
      <c r="B1370" s="49"/>
      <c r="C1370" s="49"/>
      <c r="D1370" s="49"/>
      <c r="E1370" s="49"/>
    </row>
    <row r="1371" spans="1:5">
      <c r="A1371" s="49"/>
      <c r="B1371" s="49"/>
      <c r="C1371" s="49"/>
      <c r="D1371" s="49"/>
      <c r="E1371" s="49"/>
    </row>
    <row r="1372" spans="1:5">
      <c r="A1372" s="49"/>
      <c r="B1372" s="49"/>
      <c r="C1372" s="49"/>
      <c r="D1372" s="49"/>
      <c r="E1372" s="49"/>
    </row>
    <row r="1373" spans="1:5">
      <c r="A1373" s="49"/>
      <c r="B1373" s="49"/>
      <c r="C1373" s="49"/>
      <c r="D1373" s="49"/>
      <c r="E1373" s="49"/>
    </row>
    <row r="1374" spans="1:5">
      <c r="A1374" s="49"/>
      <c r="B1374" s="49"/>
      <c r="C1374" s="49"/>
      <c r="D1374" s="49"/>
      <c r="E1374" s="49"/>
    </row>
    <row r="1375" spans="1:5">
      <c r="A1375" s="49"/>
      <c r="B1375" s="49"/>
      <c r="C1375" s="49"/>
      <c r="D1375" s="49"/>
      <c r="E1375" s="49"/>
    </row>
    <row r="1376" spans="1:5">
      <c r="A1376" s="49"/>
      <c r="B1376" s="49"/>
      <c r="C1376" s="49"/>
      <c r="D1376" s="49"/>
      <c r="E1376" s="49"/>
    </row>
    <row r="1377" spans="1:5">
      <c r="A1377" s="49"/>
      <c r="B1377" s="49"/>
      <c r="C1377" s="49"/>
      <c r="D1377" s="49"/>
      <c r="E1377" s="49"/>
    </row>
    <row r="1378" spans="1:5">
      <c r="A1378" s="49"/>
      <c r="B1378" s="49"/>
      <c r="C1378" s="49"/>
      <c r="D1378" s="49"/>
      <c r="E1378" s="49"/>
    </row>
    <row r="1379" spans="1:5">
      <c r="A1379" s="49"/>
      <c r="B1379" s="49"/>
      <c r="C1379" s="49"/>
      <c r="D1379" s="49"/>
      <c r="E1379" s="49"/>
    </row>
    <row r="1380" spans="1:5">
      <c r="A1380" s="49"/>
      <c r="B1380" s="49"/>
      <c r="C1380" s="49"/>
      <c r="D1380" s="49"/>
      <c r="E1380" s="49"/>
    </row>
    <row r="1381" spans="1:5">
      <c r="A1381" s="49"/>
      <c r="B1381" s="49"/>
      <c r="C1381" s="49"/>
      <c r="D1381" s="49"/>
      <c r="E1381" s="49"/>
    </row>
    <row r="1382" spans="1:5">
      <c r="A1382" s="49"/>
      <c r="B1382" s="49"/>
      <c r="C1382" s="49"/>
      <c r="D1382" s="49"/>
      <c r="E1382" s="49"/>
    </row>
    <row r="1383" spans="1:5">
      <c r="A1383" s="49"/>
      <c r="B1383" s="49"/>
      <c r="C1383" s="49"/>
      <c r="D1383" s="49"/>
      <c r="E1383" s="49"/>
    </row>
    <row r="1384" spans="1:5">
      <c r="A1384" s="49"/>
      <c r="B1384" s="49"/>
      <c r="C1384" s="49"/>
      <c r="D1384" s="49"/>
      <c r="E1384" s="49"/>
    </row>
    <row r="1385" spans="1:5">
      <c r="A1385" s="49"/>
      <c r="B1385" s="49"/>
      <c r="C1385" s="49"/>
      <c r="D1385" s="49"/>
      <c r="E1385" s="49"/>
    </row>
    <row r="1386" spans="1:5">
      <c r="A1386" s="49"/>
      <c r="B1386" s="49"/>
      <c r="C1386" s="49"/>
      <c r="D1386" s="49"/>
      <c r="E1386" s="49"/>
    </row>
    <row r="1387" spans="1:5">
      <c r="A1387" s="49"/>
      <c r="B1387" s="49"/>
      <c r="C1387" s="49"/>
      <c r="D1387" s="49"/>
      <c r="E1387" s="49"/>
    </row>
    <row r="1388" spans="1:5">
      <c r="A1388" s="49"/>
      <c r="B1388" s="49"/>
      <c r="C1388" s="49"/>
      <c r="D1388" s="49"/>
      <c r="E1388" s="49"/>
    </row>
    <row r="1389" spans="1:5">
      <c r="A1389" s="49"/>
      <c r="B1389" s="49"/>
      <c r="C1389" s="49"/>
      <c r="D1389" s="49"/>
      <c r="E1389" s="49"/>
    </row>
    <row r="1390" spans="1:5">
      <c r="A1390" s="49"/>
      <c r="B1390" s="49"/>
      <c r="C1390" s="49"/>
      <c r="D1390" s="49"/>
      <c r="E1390" s="49"/>
    </row>
    <row r="1391" spans="1:5">
      <c r="A1391" s="49"/>
      <c r="B1391" s="49"/>
      <c r="C1391" s="49"/>
      <c r="D1391" s="49"/>
      <c r="E1391" s="49"/>
    </row>
    <row r="1392" spans="1:5">
      <c r="A1392" s="49"/>
      <c r="B1392" s="49"/>
      <c r="C1392" s="49"/>
      <c r="D1392" s="49"/>
      <c r="E1392" s="49"/>
    </row>
    <row r="1393" spans="1:5">
      <c r="A1393" s="49"/>
      <c r="B1393" s="49"/>
      <c r="C1393" s="49"/>
      <c r="D1393" s="49"/>
      <c r="E1393" s="49"/>
    </row>
    <row r="1394" spans="1:5">
      <c r="A1394" s="49"/>
      <c r="B1394" s="49"/>
      <c r="C1394" s="49"/>
      <c r="D1394" s="49"/>
      <c r="E1394" s="49"/>
    </row>
    <row r="1395" spans="1:5">
      <c r="A1395" s="49"/>
      <c r="B1395" s="49"/>
      <c r="C1395" s="49"/>
      <c r="D1395" s="49"/>
      <c r="E1395" s="49"/>
    </row>
    <row r="1396" spans="1:5">
      <c r="A1396" s="49"/>
      <c r="B1396" s="49"/>
      <c r="C1396" s="49"/>
      <c r="D1396" s="49"/>
      <c r="E1396" s="49"/>
    </row>
    <row r="1397" spans="1:5">
      <c r="A1397" s="49"/>
      <c r="B1397" s="49"/>
      <c r="C1397" s="49"/>
      <c r="D1397" s="49"/>
      <c r="E1397" s="49"/>
    </row>
    <row r="1398" spans="1:5">
      <c r="A1398" s="49"/>
      <c r="B1398" s="49"/>
      <c r="C1398" s="49"/>
      <c r="D1398" s="49"/>
      <c r="E1398" s="49"/>
    </row>
    <row r="1399" spans="1:5">
      <c r="A1399" s="49"/>
      <c r="B1399" s="49"/>
      <c r="C1399" s="49"/>
      <c r="D1399" s="49"/>
      <c r="E1399" s="49"/>
    </row>
    <row r="1400" spans="1:5">
      <c r="A1400" s="49"/>
      <c r="B1400" s="49"/>
      <c r="C1400" s="49"/>
      <c r="D1400" s="49"/>
      <c r="E1400" s="49"/>
    </row>
    <row r="1401" spans="1:5">
      <c r="A1401" s="49"/>
      <c r="B1401" s="49"/>
      <c r="C1401" s="49"/>
      <c r="D1401" s="49"/>
      <c r="E1401" s="49"/>
    </row>
    <row r="1402" spans="1:5">
      <c r="A1402" s="49"/>
      <c r="B1402" s="49"/>
      <c r="C1402" s="49"/>
      <c r="D1402" s="49"/>
      <c r="E1402" s="49"/>
    </row>
    <row r="1403" spans="1:5">
      <c r="A1403" s="49"/>
      <c r="B1403" s="49"/>
      <c r="C1403" s="49"/>
      <c r="D1403" s="49"/>
      <c r="E1403" s="49"/>
    </row>
    <row r="1404" spans="1:5">
      <c r="A1404" s="49"/>
      <c r="B1404" s="49"/>
      <c r="C1404" s="49"/>
      <c r="D1404" s="49"/>
      <c r="E1404" s="49"/>
    </row>
    <row r="1405" spans="1:5">
      <c r="A1405" s="49"/>
      <c r="B1405" s="49"/>
      <c r="C1405" s="49"/>
      <c r="D1405" s="49"/>
      <c r="E1405" s="49"/>
    </row>
    <row r="1406" spans="1:5">
      <c r="A1406" s="49"/>
      <c r="B1406" s="49"/>
      <c r="C1406" s="49"/>
      <c r="D1406" s="49"/>
      <c r="E1406" s="49"/>
    </row>
    <row r="1407" spans="1:5">
      <c r="A1407" s="49"/>
      <c r="B1407" s="49"/>
      <c r="C1407" s="49"/>
      <c r="D1407" s="49"/>
      <c r="E1407" s="49"/>
    </row>
    <row r="1408" spans="1:5">
      <c r="A1408" s="49"/>
      <c r="B1408" s="49"/>
      <c r="C1408" s="49"/>
      <c r="D1408" s="49"/>
      <c r="E1408" s="49"/>
    </row>
    <row r="1409" spans="1:5">
      <c r="A1409" s="49"/>
      <c r="B1409" s="49"/>
      <c r="C1409" s="49"/>
      <c r="D1409" s="49"/>
      <c r="E1409" s="49"/>
    </row>
    <row r="1410" spans="1:5">
      <c r="A1410" s="49"/>
      <c r="B1410" s="49"/>
      <c r="C1410" s="49"/>
      <c r="D1410" s="49"/>
      <c r="E1410" s="49"/>
    </row>
    <row r="1411" spans="1:5">
      <c r="A1411" s="49"/>
      <c r="B1411" s="49"/>
      <c r="C1411" s="49"/>
      <c r="D1411" s="49"/>
      <c r="E1411" s="49"/>
    </row>
    <row r="1412" spans="1:5">
      <c r="A1412" s="49"/>
      <c r="B1412" s="49"/>
      <c r="C1412" s="49"/>
      <c r="D1412" s="49"/>
      <c r="E1412" s="49"/>
    </row>
    <row r="1413" spans="1:5">
      <c r="A1413" s="49"/>
      <c r="B1413" s="49"/>
      <c r="C1413" s="49"/>
      <c r="D1413" s="49"/>
      <c r="E1413" s="49"/>
    </row>
    <row r="1414" spans="1:5">
      <c r="A1414" s="49"/>
      <c r="B1414" s="49"/>
      <c r="C1414" s="49"/>
      <c r="D1414" s="49"/>
      <c r="E1414" s="49"/>
    </row>
    <row r="1415" spans="1:5">
      <c r="A1415" s="49"/>
      <c r="B1415" s="49"/>
      <c r="C1415" s="49"/>
      <c r="D1415" s="49"/>
      <c r="E1415" s="49"/>
    </row>
    <row r="1416" spans="1:5">
      <c r="A1416" s="49"/>
      <c r="B1416" s="49"/>
      <c r="C1416" s="49"/>
      <c r="D1416" s="49"/>
      <c r="E1416" s="49"/>
    </row>
    <row r="1417" spans="1:5">
      <c r="A1417" s="49"/>
      <c r="B1417" s="49"/>
      <c r="C1417" s="49"/>
      <c r="D1417" s="49"/>
      <c r="E1417" s="49"/>
    </row>
    <row r="1418" spans="1:5">
      <c r="A1418" s="49"/>
      <c r="B1418" s="49"/>
      <c r="C1418" s="49"/>
      <c r="D1418" s="49"/>
      <c r="E1418" s="49"/>
    </row>
    <row r="1419" spans="1:5">
      <c r="A1419" s="49"/>
      <c r="B1419" s="49"/>
      <c r="C1419" s="49"/>
      <c r="D1419" s="49"/>
      <c r="E1419" s="49"/>
    </row>
    <row r="1420" spans="1:5">
      <c r="A1420" s="49"/>
      <c r="B1420" s="49"/>
      <c r="C1420" s="49"/>
      <c r="D1420" s="49"/>
      <c r="E1420" s="49"/>
    </row>
    <row r="1421" spans="1:5">
      <c r="A1421" s="49"/>
      <c r="B1421" s="49"/>
      <c r="C1421" s="49"/>
      <c r="D1421" s="49"/>
      <c r="E1421" s="49"/>
    </row>
    <row r="1422" spans="1:5">
      <c r="A1422" s="49"/>
      <c r="B1422" s="49"/>
      <c r="C1422" s="49"/>
      <c r="D1422" s="49"/>
      <c r="E1422" s="49"/>
    </row>
    <row r="1423" spans="1:5">
      <c r="A1423" s="49"/>
      <c r="B1423" s="49"/>
      <c r="C1423" s="49"/>
      <c r="D1423" s="49"/>
      <c r="E1423" s="49"/>
    </row>
    <row r="1424" spans="1:5">
      <c r="A1424" s="49"/>
      <c r="B1424" s="49"/>
      <c r="C1424" s="49"/>
      <c r="D1424" s="49"/>
      <c r="E1424" s="49"/>
    </row>
    <row r="1425" spans="1:5">
      <c r="A1425" s="49"/>
      <c r="B1425" s="49"/>
      <c r="C1425" s="49"/>
      <c r="D1425" s="49"/>
      <c r="E1425" s="49"/>
    </row>
    <row r="1426" spans="1:5">
      <c r="A1426" s="49"/>
      <c r="B1426" s="49"/>
      <c r="C1426" s="49"/>
      <c r="D1426" s="49"/>
      <c r="E1426" s="49"/>
    </row>
    <row r="1427" spans="1:5">
      <c r="A1427" s="49"/>
      <c r="B1427" s="49"/>
      <c r="C1427" s="49"/>
      <c r="D1427" s="49"/>
      <c r="E1427" s="49"/>
    </row>
    <row r="1428" spans="1:5">
      <c r="A1428" s="49"/>
      <c r="B1428" s="49"/>
      <c r="C1428" s="49"/>
      <c r="D1428" s="49"/>
      <c r="E1428" s="49"/>
    </row>
    <row r="1429" spans="1:5">
      <c r="A1429" s="49"/>
      <c r="B1429" s="49"/>
      <c r="C1429" s="49"/>
      <c r="D1429" s="49"/>
      <c r="E1429" s="49"/>
    </row>
    <row r="1430" spans="1:5">
      <c r="A1430" s="49"/>
      <c r="B1430" s="49"/>
      <c r="C1430" s="49"/>
      <c r="D1430" s="49"/>
      <c r="E1430" s="49"/>
    </row>
    <row r="1431" spans="1:5">
      <c r="A1431" s="49"/>
      <c r="B1431" s="49"/>
      <c r="C1431" s="49"/>
      <c r="D1431" s="49"/>
      <c r="E1431" s="49"/>
    </row>
    <row r="1432" spans="1:5">
      <c r="A1432" s="49"/>
      <c r="B1432" s="49"/>
      <c r="C1432" s="49"/>
      <c r="D1432" s="49"/>
      <c r="E1432" s="49"/>
    </row>
    <row r="1433" spans="1:5">
      <c r="A1433" s="49"/>
      <c r="B1433" s="49"/>
      <c r="C1433" s="49"/>
      <c r="D1433" s="49"/>
      <c r="E1433" s="49"/>
    </row>
    <row r="1434" spans="1:5">
      <c r="A1434" s="49"/>
      <c r="B1434" s="49"/>
      <c r="C1434" s="49"/>
      <c r="D1434" s="49"/>
      <c r="E1434" s="49"/>
    </row>
    <row r="1435" spans="1:5">
      <c r="A1435" s="49"/>
      <c r="B1435" s="49"/>
      <c r="C1435" s="49"/>
      <c r="D1435" s="49"/>
      <c r="E1435" s="49"/>
    </row>
    <row r="1436" spans="1:5">
      <c r="A1436" s="49"/>
      <c r="B1436" s="49"/>
      <c r="C1436" s="49"/>
      <c r="D1436" s="49"/>
      <c r="E1436" s="49"/>
    </row>
    <row r="1437" spans="1:5">
      <c r="A1437" s="49"/>
      <c r="B1437" s="49"/>
      <c r="C1437" s="49"/>
      <c r="D1437" s="49"/>
      <c r="E1437" s="49"/>
    </row>
    <row r="1438" spans="1:5">
      <c r="A1438" s="49"/>
      <c r="B1438" s="49"/>
      <c r="C1438" s="49"/>
      <c r="D1438" s="49"/>
      <c r="E1438" s="49"/>
    </row>
    <row r="1439" spans="1:5">
      <c r="A1439" s="49"/>
      <c r="B1439" s="49"/>
      <c r="C1439" s="49"/>
      <c r="D1439" s="49"/>
      <c r="E1439" s="49"/>
    </row>
    <row r="1440" spans="1:5">
      <c r="A1440" s="49"/>
      <c r="B1440" s="49"/>
      <c r="C1440" s="49"/>
      <c r="D1440" s="49"/>
      <c r="E1440" s="49"/>
    </row>
    <row r="1441" spans="1:5">
      <c r="A1441" s="49"/>
      <c r="B1441" s="49"/>
      <c r="C1441" s="49"/>
      <c r="D1441" s="49"/>
      <c r="E1441" s="49"/>
    </row>
    <row r="1442" spans="1:5">
      <c r="A1442" s="49"/>
      <c r="B1442" s="49"/>
      <c r="C1442" s="49"/>
      <c r="D1442" s="49"/>
      <c r="E1442" s="49"/>
    </row>
    <row r="1443" spans="1:5">
      <c r="A1443" s="49"/>
      <c r="B1443" s="49"/>
      <c r="C1443" s="49"/>
      <c r="D1443" s="49"/>
      <c r="E1443" s="49"/>
    </row>
    <row r="1444" spans="1:5">
      <c r="A1444" s="49"/>
      <c r="B1444" s="49"/>
      <c r="C1444" s="49"/>
      <c r="D1444" s="49"/>
      <c r="E1444" s="49"/>
    </row>
    <row r="1445" spans="1:5">
      <c r="A1445" s="49"/>
      <c r="B1445" s="49"/>
      <c r="C1445" s="49"/>
      <c r="D1445" s="49"/>
      <c r="E1445" s="49"/>
    </row>
    <row r="1446" spans="1:5">
      <c r="A1446" s="49"/>
      <c r="B1446" s="49"/>
      <c r="C1446" s="49"/>
      <c r="D1446" s="49"/>
      <c r="E1446" s="49"/>
    </row>
    <row r="1447" spans="1:5">
      <c r="A1447" s="49"/>
      <c r="B1447" s="49"/>
      <c r="C1447" s="49"/>
      <c r="D1447" s="49"/>
      <c r="E1447" s="49"/>
    </row>
    <row r="1448" spans="1:5">
      <c r="A1448" s="49"/>
      <c r="B1448" s="49"/>
      <c r="C1448" s="49"/>
      <c r="D1448" s="49"/>
      <c r="E1448" s="49"/>
    </row>
    <row r="1449" spans="1:5">
      <c r="A1449" s="49"/>
      <c r="B1449" s="49"/>
      <c r="C1449" s="49"/>
      <c r="D1449" s="49"/>
      <c r="E1449" s="49"/>
    </row>
    <row r="1450" spans="1:5">
      <c r="A1450" s="49"/>
      <c r="B1450" s="49"/>
      <c r="C1450" s="49"/>
      <c r="D1450" s="49"/>
      <c r="E1450" s="49"/>
    </row>
    <row r="1451" spans="1:5">
      <c r="A1451" s="49"/>
      <c r="B1451" s="49"/>
      <c r="C1451" s="49"/>
      <c r="D1451" s="49"/>
      <c r="E1451" s="49"/>
    </row>
    <row r="1452" spans="1:5">
      <c r="A1452" s="49"/>
      <c r="B1452" s="49"/>
      <c r="C1452" s="49"/>
      <c r="D1452" s="49"/>
      <c r="E1452" s="49"/>
    </row>
    <row r="1453" spans="1:5">
      <c r="A1453" s="49"/>
      <c r="B1453" s="49"/>
      <c r="C1453" s="49"/>
      <c r="D1453" s="49"/>
      <c r="E1453" s="49"/>
    </row>
    <row r="1454" spans="1:5">
      <c r="A1454" s="49"/>
      <c r="B1454" s="49"/>
      <c r="C1454" s="49"/>
      <c r="D1454" s="49"/>
      <c r="E1454" s="49"/>
    </row>
    <row r="1455" spans="1:5">
      <c r="A1455" s="49"/>
      <c r="B1455" s="49"/>
      <c r="C1455" s="49"/>
      <c r="D1455" s="49"/>
      <c r="E1455" s="49"/>
    </row>
    <row r="1456" spans="1:5">
      <c r="A1456" s="49"/>
      <c r="B1456" s="49"/>
      <c r="C1456" s="49"/>
      <c r="D1456" s="49"/>
      <c r="E1456" s="49"/>
    </row>
    <row r="1457" spans="1:5">
      <c r="A1457" s="49"/>
      <c r="B1457" s="49"/>
      <c r="C1457" s="49"/>
      <c r="D1457" s="49"/>
      <c r="E1457" s="49"/>
    </row>
    <row r="1458" spans="1:5">
      <c r="A1458" s="49"/>
      <c r="B1458" s="49"/>
      <c r="C1458" s="49"/>
      <c r="D1458" s="49"/>
      <c r="E1458" s="49"/>
    </row>
    <row r="1459" spans="1:5">
      <c r="A1459" s="49"/>
      <c r="B1459" s="49"/>
      <c r="C1459" s="49"/>
      <c r="D1459" s="49"/>
      <c r="E1459" s="49"/>
    </row>
    <row r="1460" spans="1:5">
      <c r="A1460" s="49"/>
      <c r="B1460" s="49"/>
      <c r="C1460" s="49"/>
      <c r="D1460" s="49"/>
      <c r="E1460" s="49"/>
    </row>
    <row r="1461" spans="1:5">
      <c r="A1461" s="49"/>
      <c r="B1461" s="49"/>
      <c r="C1461" s="49"/>
      <c r="D1461" s="49"/>
      <c r="E1461" s="49"/>
    </row>
    <row r="1462" spans="1:5">
      <c r="A1462" s="49"/>
      <c r="B1462" s="49"/>
      <c r="C1462" s="49"/>
      <c r="D1462" s="49"/>
      <c r="E1462" s="49"/>
    </row>
    <row r="1463" spans="1:5">
      <c r="A1463" s="49"/>
      <c r="B1463" s="49"/>
      <c r="C1463" s="49"/>
      <c r="D1463" s="49"/>
      <c r="E1463" s="49"/>
    </row>
    <row r="1464" spans="1:5">
      <c r="A1464" s="49"/>
      <c r="B1464" s="49"/>
      <c r="C1464" s="49"/>
      <c r="D1464" s="49"/>
      <c r="E1464" s="49"/>
    </row>
    <row r="1465" spans="1:5">
      <c r="A1465" s="49"/>
      <c r="B1465" s="49"/>
      <c r="C1465" s="49"/>
      <c r="D1465" s="49"/>
      <c r="E1465" s="49"/>
    </row>
    <row r="1466" spans="1:5">
      <c r="A1466" s="49"/>
      <c r="B1466" s="49"/>
      <c r="C1466" s="49"/>
      <c r="D1466" s="49"/>
      <c r="E1466" s="49"/>
    </row>
    <row r="1467" spans="1:5">
      <c r="A1467" s="49"/>
      <c r="B1467" s="49"/>
      <c r="C1467" s="49"/>
      <c r="D1467" s="49"/>
      <c r="E1467" s="49"/>
    </row>
    <row r="1468" spans="1:5">
      <c r="A1468" s="49"/>
      <c r="B1468" s="49"/>
      <c r="C1468" s="49"/>
      <c r="D1468" s="49"/>
      <c r="E1468" s="49"/>
    </row>
    <row r="1469" spans="1:5">
      <c r="A1469" s="49"/>
      <c r="B1469" s="49"/>
      <c r="C1469" s="49"/>
      <c r="D1469" s="49"/>
      <c r="E1469" s="49"/>
    </row>
    <row r="1470" spans="1:5">
      <c r="A1470" s="49"/>
      <c r="B1470" s="49"/>
      <c r="C1470" s="49"/>
      <c r="D1470" s="49"/>
      <c r="E1470" s="49"/>
    </row>
    <row r="1471" spans="1:5">
      <c r="A1471" s="49"/>
      <c r="B1471" s="49"/>
      <c r="C1471" s="49"/>
      <c r="D1471" s="49"/>
      <c r="E1471" s="49"/>
    </row>
    <row r="1472" spans="1:5">
      <c r="A1472" s="49"/>
      <c r="B1472" s="49"/>
      <c r="C1472" s="49"/>
      <c r="D1472" s="49"/>
      <c r="E1472" s="49"/>
    </row>
    <row r="1473" spans="1:5">
      <c r="A1473" s="49"/>
      <c r="B1473" s="49"/>
      <c r="C1473" s="49"/>
      <c r="D1473" s="49"/>
      <c r="E1473" s="49"/>
    </row>
    <row r="1474" spans="1:5">
      <c r="A1474" s="49"/>
      <c r="B1474" s="49"/>
      <c r="C1474" s="49"/>
      <c r="D1474" s="49"/>
      <c r="E1474" s="49"/>
    </row>
    <row r="1475" spans="1:5">
      <c r="A1475" s="49"/>
      <c r="B1475" s="49"/>
      <c r="C1475" s="49"/>
      <c r="D1475" s="49"/>
      <c r="E1475" s="49"/>
    </row>
    <row r="1476" spans="1:5">
      <c r="A1476" s="49"/>
      <c r="B1476" s="49"/>
      <c r="C1476" s="49"/>
      <c r="D1476" s="49"/>
      <c r="E1476" s="49"/>
    </row>
    <row r="1477" spans="1:5">
      <c r="A1477" s="49"/>
      <c r="B1477" s="49"/>
      <c r="C1477" s="49"/>
      <c r="D1477" s="49"/>
      <c r="E1477" s="49"/>
    </row>
    <row r="1478" spans="1:5">
      <c r="A1478" s="49"/>
      <c r="B1478" s="49"/>
      <c r="C1478" s="49"/>
      <c r="D1478" s="49"/>
      <c r="E1478" s="49"/>
    </row>
    <row r="1479" spans="1:5">
      <c r="A1479" s="49"/>
      <c r="B1479" s="49"/>
      <c r="C1479" s="49"/>
      <c r="D1479" s="49"/>
      <c r="E1479" s="49"/>
    </row>
    <row r="1480" spans="1:5">
      <c r="A1480" s="49"/>
      <c r="B1480" s="49"/>
      <c r="C1480" s="49"/>
      <c r="D1480" s="49"/>
      <c r="E1480" s="49"/>
    </row>
    <row r="1481" spans="1:5">
      <c r="A1481" s="49"/>
      <c r="B1481" s="49"/>
      <c r="C1481" s="49"/>
      <c r="D1481" s="49"/>
      <c r="E1481" s="49"/>
    </row>
    <row r="1482" spans="1:5">
      <c r="A1482" s="49"/>
      <c r="B1482" s="49"/>
      <c r="C1482" s="49"/>
      <c r="D1482" s="49"/>
      <c r="E1482" s="49"/>
    </row>
    <row r="1483" spans="1:5">
      <c r="A1483" s="49"/>
      <c r="B1483" s="49"/>
      <c r="C1483" s="49"/>
      <c r="D1483" s="49"/>
      <c r="E1483" s="49"/>
    </row>
    <row r="1484" spans="1:5">
      <c r="A1484" s="49"/>
      <c r="B1484" s="49"/>
      <c r="C1484" s="49"/>
      <c r="D1484" s="49"/>
      <c r="E1484" s="49"/>
    </row>
    <row r="1485" spans="1:5">
      <c r="A1485" s="49"/>
      <c r="B1485" s="49"/>
      <c r="C1485" s="49"/>
      <c r="D1485" s="49"/>
      <c r="E1485" s="49"/>
    </row>
    <row r="1486" spans="1:5">
      <c r="A1486" s="49"/>
      <c r="B1486" s="49"/>
      <c r="C1486" s="49"/>
      <c r="D1486" s="49"/>
      <c r="E1486" s="49"/>
    </row>
    <row r="1487" spans="1:5">
      <c r="A1487" s="49"/>
      <c r="B1487" s="49"/>
      <c r="C1487" s="49"/>
      <c r="D1487" s="49"/>
      <c r="E1487" s="49"/>
    </row>
    <row r="1488" spans="1:5">
      <c r="A1488" s="49"/>
      <c r="B1488" s="49"/>
      <c r="C1488" s="49"/>
      <c r="D1488" s="49"/>
      <c r="E1488" s="49"/>
    </row>
    <row r="1489" spans="1:5">
      <c r="A1489" s="49"/>
      <c r="B1489" s="49"/>
      <c r="C1489" s="49"/>
      <c r="D1489" s="49"/>
      <c r="E1489" s="49"/>
    </row>
    <row r="1490" spans="1:5">
      <c r="A1490" s="49"/>
      <c r="B1490" s="49"/>
      <c r="C1490" s="49"/>
      <c r="D1490" s="49"/>
      <c r="E1490" s="49"/>
    </row>
    <row r="1491" spans="1:5">
      <c r="A1491" s="49"/>
      <c r="B1491" s="49"/>
      <c r="C1491" s="49"/>
      <c r="D1491" s="49"/>
      <c r="E1491" s="49"/>
    </row>
    <row r="1492" spans="1:5">
      <c r="A1492" s="49"/>
      <c r="B1492" s="49"/>
      <c r="C1492" s="49"/>
      <c r="D1492" s="49"/>
      <c r="E1492" s="49"/>
    </row>
    <row r="1493" spans="1:5">
      <c r="A1493" s="49"/>
      <c r="B1493" s="49"/>
      <c r="C1493" s="49"/>
      <c r="D1493" s="49"/>
      <c r="E1493" s="49"/>
    </row>
    <row r="1494" spans="1:5">
      <c r="A1494" s="49"/>
      <c r="B1494" s="49"/>
      <c r="C1494" s="49"/>
      <c r="D1494" s="49"/>
      <c r="E1494" s="49"/>
    </row>
    <row r="1495" spans="1:5">
      <c r="A1495" s="49"/>
      <c r="B1495" s="49"/>
      <c r="C1495" s="49"/>
      <c r="D1495" s="49"/>
      <c r="E1495" s="49"/>
    </row>
    <row r="1496" spans="1:5">
      <c r="A1496" s="49"/>
      <c r="B1496" s="49"/>
      <c r="C1496" s="49"/>
      <c r="D1496" s="49"/>
      <c r="E1496" s="49"/>
    </row>
    <row r="1497" spans="1:5">
      <c r="A1497" s="49"/>
      <c r="B1497" s="49"/>
      <c r="C1497" s="49"/>
      <c r="D1497" s="49"/>
      <c r="E1497" s="49"/>
    </row>
    <row r="1498" spans="1:5">
      <c r="A1498" s="49"/>
      <c r="B1498" s="49"/>
      <c r="C1498" s="49"/>
      <c r="D1498" s="49"/>
      <c r="E1498" s="49"/>
    </row>
    <row r="1499" spans="1:5">
      <c r="A1499" s="49"/>
      <c r="B1499" s="49"/>
      <c r="C1499" s="49"/>
      <c r="D1499" s="49"/>
      <c r="E1499" s="49"/>
    </row>
    <row r="1500" spans="1:5">
      <c r="A1500" s="49"/>
      <c r="B1500" s="49"/>
      <c r="C1500" s="49"/>
      <c r="D1500" s="49"/>
      <c r="E1500" s="49"/>
    </row>
    <row r="1501" spans="1:5">
      <c r="A1501" s="49"/>
      <c r="B1501" s="49"/>
      <c r="C1501" s="49"/>
      <c r="D1501" s="49"/>
      <c r="E1501" s="49"/>
    </row>
    <row r="1502" spans="1:5">
      <c r="A1502" s="49"/>
      <c r="B1502" s="49"/>
      <c r="C1502" s="49"/>
      <c r="D1502" s="49"/>
      <c r="E1502" s="49"/>
    </row>
    <row r="1503" spans="1:5">
      <c r="A1503" s="49"/>
      <c r="B1503" s="49"/>
      <c r="C1503" s="49"/>
      <c r="D1503" s="49"/>
      <c r="E1503" s="49"/>
    </row>
    <row r="1504" spans="1:5">
      <c r="A1504" s="49"/>
      <c r="B1504" s="49"/>
      <c r="C1504" s="49"/>
      <c r="D1504" s="49"/>
      <c r="E1504" s="49"/>
    </row>
    <row r="1505" spans="1:5">
      <c r="A1505" s="49"/>
      <c r="B1505" s="49"/>
      <c r="C1505" s="49"/>
      <c r="D1505" s="49"/>
      <c r="E1505" s="49"/>
    </row>
    <row r="1506" spans="1:5">
      <c r="A1506" s="49"/>
      <c r="B1506" s="49"/>
      <c r="C1506" s="49"/>
      <c r="D1506" s="49"/>
      <c r="E1506" s="49"/>
    </row>
    <row r="1507" spans="1:5">
      <c r="A1507" s="49"/>
      <c r="B1507" s="49"/>
      <c r="C1507" s="49"/>
      <c r="D1507" s="49"/>
      <c r="E1507" s="49"/>
    </row>
    <row r="1508" spans="1:5">
      <c r="A1508" s="49"/>
      <c r="B1508" s="49"/>
      <c r="C1508" s="49"/>
      <c r="D1508" s="49"/>
      <c r="E1508" s="49"/>
    </row>
    <row r="1509" spans="1:5">
      <c r="A1509" s="49"/>
      <c r="B1509" s="49"/>
      <c r="C1509" s="49"/>
      <c r="D1509" s="49"/>
      <c r="E1509" s="49"/>
    </row>
    <row r="1510" spans="1:5">
      <c r="A1510" s="49"/>
      <c r="B1510" s="49"/>
      <c r="C1510" s="49"/>
      <c r="D1510" s="49"/>
      <c r="E1510" s="49"/>
    </row>
    <row r="1511" spans="1:5">
      <c r="A1511" s="49"/>
      <c r="B1511" s="49"/>
      <c r="C1511" s="49"/>
      <c r="D1511" s="49"/>
      <c r="E1511" s="49"/>
    </row>
    <row r="1512" spans="1:5">
      <c r="A1512" s="49"/>
      <c r="B1512" s="49"/>
      <c r="C1512" s="49"/>
      <c r="D1512" s="49"/>
      <c r="E1512" s="49"/>
    </row>
    <row r="1513" spans="1:5">
      <c r="A1513" s="49"/>
      <c r="B1513" s="49"/>
      <c r="C1513" s="49"/>
      <c r="D1513" s="49"/>
      <c r="E1513" s="49"/>
    </row>
    <row r="1514" spans="1:5">
      <c r="A1514" s="49"/>
      <c r="B1514" s="49"/>
      <c r="C1514" s="49"/>
      <c r="D1514" s="49"/>
      <c r="E1514" s="49"/>
    </row>
    <row r="1515" spans="1:5">
      <c r="A1515" s="49"/>
      <c r="B1515" s="49"/>
      <c r="C1515" s="49"/>
      <c r="D1515" s="49"/>
      <c r="E1515" s="49"/>
    </row>
    <row r="1516" spans="1:5">
      <c r="A1516" s="49"/>
      <c r="B1516" s="49"/>
      <c r="C1516" s="49"/>
      <c r="D1516" s="49"/>
      <c r="E1516" s="49"/>
    </row>
    <row r="1517" spans="1:5">
      <c r="A1517" s="49"/>
      <c r="B1517" s="49"/>
      <c r="C1517" s="49"/>
      <c r="D1517" s="49"/>
      <c r="E1517" s="49"/>
    </row>
    <row r="1518" spans="1:5">
      <c r="A1518" s="49"/>
      <c r="B1518" s="49"/>
      <c r="C1518" s="49"/>
      <c r="D1518" s="49"/>
      <c r="E1518" s="49"/>
    </row>
    <row r="1519" spans="1:5">
      <c r="A1519" s="49"/>
      <c r="B1519" s="49"/>
      <c r="C1519" s="49"/>
      <c r="D1519" s="49"/>
      <c r="E1519" s="49"/>
    </row>
    <row r="1520" spans="1:5">
      <c r="A1520" s="49"/>
      <c r="B1520" s="49"/>
      <c r="C1520" s="49"/>
      <c r="D1520" s="49"/>
      <c r="E1520" s="49"/>
    </row>
    <row r="1521" spans="1:5">
      <c r="A1521" s="49"/>
      <c r="B1521" s="49"/>
      <c r="C1521" s="49"/>
      <c r="D1521" s="49"/>
      <c r="E1521" s="49"/>
    </row>
    <row r="1522" spans="1:5">
      <c r="A1522" s="49"/>
      <c r="B1522" s="49"/>
      <c r="C1522" s="49"/>
      <c r="D1522" s="49"/>
      <c r="E1522" s="49"/>
    </row>
    <row r="1523" spans="1:5">
      <c r="A1523" s="49"/>
      <c r="B1523" s="49"/>
      <c r="C1523" s="49"/>
      <c r="D1523" s="49"/>
      <c r="E1523" s="49"/>
    </row>
    <row r="1524" spans="1:5">
      <c r="A1524" s="49"/>
      <c r="B1524" s="49"/>
      <c r="C1524" s="49"/>
      <c r="D1524" s="49"/>
      <c r="E1524" s="49"/>
    </row>
    <row r="1525" spans="1:5">
      <c r="A1525" s="49"/>
      <c r="B1525" s="49"/>
      <c r="C1525" s="49"/>
      <c r="D1525" s="49"/>
      <c r="E1525" s="49"/>
    </row>
    <row r="1526" spans="1:5">
      <c r="A1526" s="49"/>
      <c r="B1526" s="49"/>
      <c r="C1526" s="49"/>
      <c r="D1526" s="49"/>
      <c r="E1526" s="49"/>
    </row>
    <row r="1527" spans="1:5">
      <c r="A1527" s="49"/>
      <c r="B1527" s="49"/>
      <c r="C1527" s="49"/>
      <c r="D1527" s="49"/>
      <c r="E1527" s="49"/>
    </row>
    <row r="1528" spans="1:5">
      <c r="A1528" s="49"/>
      <c r="B1528" s="49"/>
      <c r="C1528" s="49"/>
      <c r="D1528" s="49"/>
      <c r="E1528" s="49"/>
    </row>
    <row r="1529" spans="1:5">
      <c r="A1529" s="49"/>
      <c r="B1529" s="49"/>
      <c r="C1529" s="49"/>
      <c r="D1529" s="49"/>
      <c r="E1529" s="49"/>
    </row>
    <row r="1530" spans="1:5">
      <c r="A1530" s="49"/>
      <c r="B1530" s="49"/>
      <c r="C1530" s="49"/>
      <c r="D1530" s="49"/>
      <c r="E1530" s="49"/>
    </row>
    <row r="1531" spans="1:5">
      <c r="A1531" s="49"/>
      <c r="B1531" s="49"/>
      <c r="C1531" s="49"/>
      <c r="D1531" s="49"/>
      <c r="E1531" s="49"/>
    </row>
    <row r="1532" spans="1:5">
      <c r="A1532" s="49"/>
      <c r="B1532" s="49"/>
      <c r="C1532" s="49"/>
      <c r="D1532" s="49"/>
      <c r="E1532" s="49"/>
    </row>
    <row r="1533" spans="1:5">
      <c r="A1533" s="49"/>
      <c r="B1533" s="49"/>
      <c r="C1533" s="49"/>
      <c r="D1533" s="49"/>
      <c r="E1533" s="49"/>
    </row>
    <row r="1534" spans="1:5">
      <c r="A1534" s="49"/>
      <c r="B1534" s="49"/>
      <c r="C1534" s="49"/>
      <c r="D1534" s="49"/>
      <c r="E1534" s="49"/>
    </row>
    <row r="1535" spans="1:5">
      <c r="A1535" s="49"/>
      <c r="B1535" s="49"/>
      <c r="C1535" s="49"/>
      <c r="D1535" s="49"/>
      <c r="E1535" s="49"/>
    </row>
    <row r="1536" spans="1:5">
      <c r="A1536" s="49"/>
      <c r="B1536" s="49"/>
      <c r="C1536" s="49"/>
      <c r="D1536" s="49"/>
      <c r="E1536" s="49"/>
    </row>
    <row r="1537" spans="1:5">
      <c r="A1537" s="49"/>
      <c r="B1537" s="49"/>
      <c r="C1537" s="49"/>
      <c r="D1537" s="49"/>
      <c r="E1537" s="49"/>
    </row>
    <row r="1538" spans="1:5">
      <c r="A1538" s="49"/>
      <c r="B1538" s="49"/>
      <c r="C1538" s="49"/>
      <c r="D1538" s="49"/>
      <c r="E1538" s="49"/>
    </row>
    <row r="1539" spans="1:5">
      <c r="A1539" s="49"/>
      <c r="B1539" s="49"/>
      <c r="C1539" s="49"/>
      <c r="D1539" s="49"/>
      <c r="E1539" s="49"/>
    </row>
    <row r="1540" spans="1:5">
      <c r="A1540" s="49"/>
      <c r="B1540" s="49"/>
      <c r="C1540" s="49"/>
      <c r="D1540" s="49"/>
      <c r="E1540" s="49"/>
    </row>
    <row r="1541" spans="1:5">
      <c r="A1541" s="49"/>
      <c r="B1541" s="49"/>
      <c r="C1541" s="49"/>
      <c r="D1541" s="49"/>
      <c r="E1541" s="49"/>
    </row>
    <row r="1542" spans="1:5">
      <c r="A1542" s="49"/>
      <c r="B1542" s="49"/>
      <c r="C1542" s="49"/>
      <c r="D1542" s="49"/>
      <c r="E1542" s="49"/>
    </row>
    <row r="1543" spans="1:5">
      <c r="A1543" s="49"/>
      <c r="B1543" s="49"/>
      <c r="C1543" s="49"/>
      <c r="D1543" s="49"/>
      <c r="E1543" s="49"/>
    </row>
    <row r="1544" spans="1:5">
      <c r="A1544" s="49"/>
      <c r="B1544" s="49"/>
      <c r="C1544" s="49"/>
      <c r="D1544" s="49"/>
      <c r="E1544" s="49"/>
    </row>
    <row r="1545" spans="1:5">
      <c r="A1545" s="49"/>
      <c r="B1545" s="49"/>
      <c r="C1545" s="49"/>
      <c r="D1545" s="49"/>
      <c r="E1545" s="49"/>
    </row>
    <row r="1546" spans="1:5">
      <c r="A1546" s="49"/>
      <c r="B1546" s="49"/>
      <c r="C1546" s="49"/>
      <c r="D1546" s="49"/>
      <c r="E1546" s="49"/>
    </row>
    <row r="1547" spans="1:5">
      <c r="A1547" s="49"/>
      <c r="B1547" s="49"/>
      <c r="C1547" s="49"/>
      <c r="D1547" s="49"/>
      <c r="E1547" s="49"/>
    </row>
    <row r="1548" spans="1:5">
      <c r="A1548" s="49"/>
      <c r="B1548" s="49"/>
      <c r="C1548" s="49"/>
      <c r="D1548" s="49"/>
      <c r="E1548" s="49"/>
    </row>
    <row r="1549" spans="1:5">
      <c r="A1549" s="49"/>
      <c r="B1549" s="49"/>
      <c r="C1549" s="49"/>
      <c r="D1549" s="49"/>
      <c r="E1549" s="49"/>
    </row>
    <row r="1550" spans="1:5">
      <c r="A1550" s="49"/>
      <c r="B1550" s="49"/>
      <c r="C1550" s="49"/>
      <c r="D1550" s="49"/>
      <c r="E1550" s="49"/>
    </row>
    <row r="1551" spans="1:5">
      <c r="A1551" s="49"/>
      <c r="B1551" s="49"/>
      <c r="C1551" s="49"/>
      <c r="D1551" s="49"/>
      <c r="E1551" s="49"/>
    </row>
    <row r="1552" spans="1:5">
      <c r="A1552" s="49"/>
      <c r="B1552" s="49"/>
      <c r="C1552" s="49"/>
      <c r="D1552" s="49"/>
      <c r="E1552" s="49"/>
    </row>
    <row r="1553" spans="1:5">
      <c r="A1553" s="49"/>
      <c r="B1553" s="49"/>
      <c r="C1553" s="49"/>
      <c r="D1553" s="49"/>
      <c r="E1553" s="49"/>
    </row>
    <row r="1554" spans="1:5">
      <c r="A1554" s="49"/>
      <c r="B1554" s="49"/>
      <c r="C1554" s="49"/>
      <c r="D1554" s="49"/>
      <c r="E1554" s="49"/>
    </row>
    <row r="1555" spans="1:5">
      <c r="A1555" s="49"/>
      <c r="B1555" s="49"/>
      <c r="C1555" s="49"/>
      <c r="D1555" s="49"/>
      <c r="E1555" s="49"/>
    </row>
    <row r="1556" spans="1:5">
      <c r="A1556" s="49"/>
      <c r="B1556" s="49"/>
      <c r="C1556" s="49"/>
      <c r="D1556" s="49"/>
      <c r="E1556" s="49"/>
    </row>
    <row r="1557" spans="1:5">
      <c r="A1557" s="49"/>
      <c r="B1557" s="49"/>
      <c r="C1557" s="49"/>
      <c r="D1557" s="49"/>
      <c r="E1557" s="49"/>
    </row>
    <row r="1558" spans="1:5">
      <c r="A1558" s="49"/>
      <c r="B1558" s="49"/>
      <c r="C1558" s="49"/>
      <c r="D1558" s="49"/>
      <c r="E1558" s="49"/>
    </row>
    <row r="1559" spans="1:5">
      <c r="A1559" s="49"/>
      <c r="B1559" s="49"/>
      <c r="C1559" s="49"/>
      <c r="D1559" s="49"/>
      <c r="E1559" s="49"/>
    </row>
    <row r="1560" spans="1:5">
      <c r="A1560" s="49"/>
      <c r="B1560" s="49"/>
      <c r="C1560" s="49"/>
      <c r="D1560" s="49"/>
      <c r="E1560" s="49"/>
    </row>
    <row r="1561" spans="1:5">
      <c r="A1561" s="49"/>
      <c r="B1561" s="49"/>
      <c r="C1561" s="49"/>
      <c r="D1561" s="49"/>
      <c r="E1561" s="49"/>
    </row>
    <row r="1562" spans="1:5">
      <c r="A1562" s="49"/>
      <c r="B1562" s="49"/>
      <c r="C1562" s="49"/>
      <c r="D1562" s="49"/>
      <c r="E1562" s="49"/>
    </row>
    <row r="1563" spans="1:5">
      <c r="A1563" s="49"/>
      <c r="B1563" s="49"/>
      <c r="C1563" s="49"/>
      <c r="D1563" s="49"/>
      <c r="E1563" s="49"/>
    </row>
    <row r="1564" spans="1:5">
      <c r="A1564" s="49"/>
      <c r="B1564" s="49"/>
      <c r="C1564" s="49"/>
      <c r="D1564" s="49"/>
      <c r="E1564" s="49"/>
    </row>
    <row r="1565" spans="1:5">
      <c r="A1565" s="49"/>
      <c r="B1565" s="49"/>
      <c r="C1565" s="49"/>
      <c r="D1565" s="49"/>
      <c r="E1565" s="49"/>
    </row>
    <row r="1566" spans="1:5">
      <c r="A1566" s="49"/>
      <c r="B1566" s="49"/>
      <c r="C1566" s="49"/>
      <c r="D1566" s="49"/>
      <c r="E1566" s="49"/>
    </row>
    <row r="1567" spans="1:5">
      <c r="A1567" s="49"/>
      <c r="B1567" s="49"/>
      <c r="C1567" s="49"/>
      <c r="D1567" s="49"/>
      <c r="E1567" s="49"/>
    </row>
    <row r="1568" spans="1:5">
      <c r="A1568" s="49"/>
      <c r="B1568" s="49"/>
      <c r="C1568" s="49"/>
      <c r="D1568" s="49"/>
      <c r="E1568" s="49"/>
    </row>
    <row r="1569" spans="1:5">
      <c r="A1569" s="49"/>
      <c r="B1569" s="49"/>
      <c r="C1569" s="49"/>
      <c r="D1569" s="49"/>
      <c r="E1569" s="49"/>
    </row>
    <row r="1570" spans="1:5">
      <c r="A1570" s="49"/>
      <c r="B1570" s="49"/>
      <c r="C1570" s="49"/>
      <c r="D1570" s="49"/>
      <c r="E1570" s="49"/>
    </row>
    <row r="1571" spans="1:5">
      <c r="A1571" s="49"/>
      <c r="B1571" s="49"/>
      <c r="C1571" s="49"/>
      <c r="D1571" s="49"/>
      <c r="E1571" s="49"/>
    </row>
    <row r="1572" spans="1:5">
      <c r="A1572" s="49"/>
      <c r="B1572" s="49"/>
      <c r="C1572" s="49"/>
      <c r="D1572" s="49"/>
      <c r="E1572" s="49"/>
    </row>
    <row r="1573" spans="1:5">
      <c r="A1573" s="49"/>
      <c r="B1573" s="49"/>
      <c r="C1573" s="49"/>
      <c r="D1573" s="49"/>
      <c r="E1573" s="49"/>
    </row>
    <row r="1574" spans="1:5">
      <c r="A1574" s="49"/>
      <c r="B1574" s="49"/>
      <c r="C1574" s="49"/>
      <c r="D1574" s="49"/>
      <c r="E1574" s="49"/>
    </row>
    <row r="1575" spans="1:5">
      <c r="A1575" s="49"/>
      <c r="B1575" s="49"/>
      <c r="C1575" s="49"/>
      <c r="D1575" s="49"/>
      <c r="E1575" s="49"/>
    </row>
    <row r="1576" spans="1:5">
      <c r="A1576" s="49"/>
      <c r="B1576" s="49"/>
      <c r="C1576" s="49"/>
      <c r="D1576" s="49"/>
      <c r="E1576" s="49"/>
    </row>
    <row r="1577" spans="1:5">
      <c r="A1577" s="49"/>
      <c r="B1577" s="49"/>
      <c r="C1577" s="49"/>
      <c r="D1577" s="49"/>
      <c r="E1577" s="49"/>
    </row>
    <row r="1578" spans="1:5">
      <c r="A1578" s="49"/>
      <c r="B1578" s="49"/>
      <c r="C1578" s="49"/>
      <c r="D1578" s="49"/>
      <c r="E1578" s="49"/>
    </row>
    <row r="1579" spans="1:5">
      <c r="A1579" s="49"/>
      <c r="B1579" s="49"/>
      <c r="C1579" s="49"/>
      <c r="D1579" s="49"/>
      <c r="E1579" s="49"/>
    </row>
    <row r="1580" spans="1:5">
      <c r="A1580" s="49"/>
      <c r="B1580" s="49"/>
      <c r="C1580" s="49"/>
      <c r="D1580" s="49"/>
      <c r="E1580" s="49"/>
    </row>
    <row r="1581" spans="1:5">
      <c r="A1581" s="49"/>
      <c r="B1581" s="49"/>
      <c r="C1581" s="49"/>
      <c r="D1581" s="49"/>
      <c r="E1581" s="49"/>
    </row>
    <row r="1582" spans="1:5">
      <c r="A1582" s="49"/>
      <c r="B1582" s="49"/>
      <c r="C1582" s="49"/>
      <c r="D1582" s="49"/>
      <c r="E1582" s="49"/>
    </row>
    <row r="1583" spans="1:5">
      <c r="A1583" s="49"/>
      <c r="B1583" s="49"/>
      <c r="C1583" s="49"/>
      <c r="D1583" s="49"/>
      <c r="E1583" s="49"/>
    </row>
    <row r="1584" spans="1:5">
      <c r="A1584" s="49"/>
      <c r="B1584" s="49"/>
      <c r="C1584" s="49"/>
      <c r="D1584" s="49"/>
      <c r="E1584" s="49"/>
    </row>
    <row r="1585" spans="1:5">
      <c r="A1585" s="49"/>
      <c r="B1585" s="49"/>
      <c r="C1585" s="49"/>
      <c r="D1585" s="49"/>
      <c r="E1585" s="49"/>
    </row>
    <row r="1586" spans="1:5">
      <c r="A1586" s="49"/>
      <c r="B1586" s="49"/>
      <c r="C1586" s="49"/>
      <c r="D1586" s="49"/>
      <c r="E1586" s="49"/>
    </row>
    <row r="1587" spans="1:5">
      <c r="A1587" s="49"/>
      <c r="B1587" s="49"/>
      <c r="C1587" s="49"/>
      <c r="D1587" s="49"/>
      <c r="E1587" s="49"/>
    </row>
    <row r="1588" spans="1:5">
      <c r="A1588" s="49"/>
      <c r="B1588" s="49"/>
      <c r="C1588" s="49"/>
      <c r="D1588" s="49"/>
      <c r="E1588" s="49"/>
    </row>
    <row r="1589" spans="1:5">
      <c r="A1589" s="49"/>
      <c r="B1589" s="49"/>
      <c r="C1589" s="49"/>
      <c r="D1589" s="49"/>
      <c r="E1589" s="49"/>
    </row>
    <row r="1590" spans="1:5">
      <c r="A1590" s="49"/>
      <c r="B1590" s="49"/>
      <c r="C1590" s="49"/>
      <c r="D1590" s="49"/>
      <c r="E1590" s="49"/>
    </row>
    <row r="1591" spans="1:5">
      <c r="A1591" s="49"/>
      <c r="B1591" s="49"/>
      <c r="C1591" s="49"/>
      <c r="D1591" s="49"/>
      <c r="E1591" s="49"/>
    </row>
    <row r="1592" spans="1:5">
      <c r="A1592" s="49"/>
      <c r="B1592" s="49"/>
      <c r="C1592" s="49"/>
      <c r="D1592" s="49"/>
      <c r="E1592" s="49"/>
    </row>
    <row r="1593" spans="1:5">
      <c r="A1593" s="49"/>
      <c r="B1593" s="49"/>
      <c r="C1593" s="49"/>
      <c r="D1593" s="49"/>
      <c r="E1593" s="49"/>
    </row>
    <row r="1594" spans="1:5">
      <c r="A1594" s="49"/>
      <c r="B1594" s="49"/>
      <c r="C1594" s="49"/>
      <c r="D1594" s="49"/>
      <c r="E1594" s="49"/>
    </row>
    <row r="1595" spans="1:5">
      <c r="A1595" s="49"/>
      <c r="B1595" s="49"/>
      <c r="C1595" s="49"/>
      <c r="D1595" s="49"/>
      <c r="E1595" s="49"/>
    </row>
    <row r="1596" spans="1:5">
      <c r="A1596" s="49"/>
      <c r="B1596" s="49"/>
      <c r="C1596" s="49"/>
      <c r="D1596" s="49"/>
      <c r="E1596" s="49"/>
    </row>
    <row r="1597" spans="1:5">
      <c r="A1597" s="49"/>
      <c r="B1597" s="49"/>
      <c r="C1597" s="49"/>
      <c r="D1597" s="49"/>
      <c r="E1597" s="49"/>
    </row>
    <row r="1598" spans="1:5">
      <c r="A1598" s="49"/>
      <c r="B1598" s="49"/>
      <c r="C1598" s="49"/>
      <c r="D1598" s="49"/>
      <c r="E1598" s="49"/>
    </row>
    <row r="1599" spans="1:5">
      <c r="A1599" s="49"/>
      <c r="B1599" s="49"/>
      <c r="C1599" s="49"/>
      <c r="D1599" s="49"/>
      <c r="E1599" s="49"/>
    </row>
    <row r="1600" spans="1:5">
      <c r="A1600" s="49"/>
      <c r="B1600" s="49"/>
      <c r="C1600" s="49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  <row r="1606" spans="1:5">
      <c r="A1606" s="49"/>
      <c r="B1606" s="49"/>
      <c r="C1606" s="49"/>
      <c r="D1606" s="49"/>
      <c r="E1606" s="49"/>
    </row>
    <row r="1607" spans="1:5">
      <c r="A1607" s="49"/>
      <c r="B1607" s="49"/>
      <c r="C1607" s="49"/>
      <c r="D1607" s="49"/>
      <c r="E1607" s="49"/>
    </row>
    <row r="1608" spans="1:5">
      <c r="A1608" s="49"/>
      <c r="B1608" s="49"/>
      <c r="C1608" s="49"/>
      <c r="D1608" s="49"/>
      <c r="E1608" s="49"/>
    </row>
    <row r="1609" spans="1:5">
      <c r="A1609" s="49"/>
      <c r="B1609" s="49"/>
      <c r="C1609" s="49"/>
      <c r="D1609" s="49"/>
      <c r="E1609" s="49"/>
    </row>
    <row r="1610" spans="1:5">
      <c r="A1610" s="49"/>
      <c r="B1610" s="49"/>
      <c r="C1610" s="49"/>
      <c r="D1610" s="49"/>
      <c r="E1610" s="49"/>
    </row>
    <row r="1611" spans="1:5">
      <c r="A1611" s="49"/>
      <c r="B1611" s="49"/>
      <c r="C1611" s="49"/>
      <c r="D1611" s="49"/>
      <c r="E1611" s="49"/>
    </row>
    <row r="1612" spans="1:5">
      <c r="A1612" s="49"/>
      <c r="B1612" s="49"/>
      <c r="C1612" s="49"/>
      <c r="D1612" s="49"/>
      <c r="E1612" s="49"/>
    </row>
    <row r="1613" spans="1:5">
      <c r="A1613" s="49"/>
      <c r="B1613" s="49"/>
      <c r="C1613" s="49"/>
      <c r="D1613" s="49"/>
      <c r="E1613" s="49"/>
    </row>
    <row r="1614" spans="1:5">
      <c r="A1614" s="49"/>
      <c r="B1614" s="49"/>
      <c r="C1614" s="49"/>
      <c r="D1614" s="49"/>
      <c r="E1614" s="49"/>
    </row>
    <row r="1615" spans="1:5">
      <c r="A1615" s="49"/>
      <c r="B1615" s="49"/>
      <c r="C1615" s="49"/>
      <c r="D1615" s="49"/>
      <c r="E1615" s="49"/>
    </row>
    <row r="1616" spans="1:5">
      <c r="A1616" s="49"/>
      <c r="B1616" s="49"/>
      <c r="C1616" s="49"/>
      <c r="D1616" s="49"/>
      <c r="E1616" s="49"/>
    </row>
    <row r="1617" spans="1:5">
      <c r="A1617" s="49"/>
      <c r="B1617" s="49"/>
      <c r="C1617" s="49"/>
      <c r="D1617" s="49"/>
      <c r="E1617" s="49"/>
    </row>
    <row r="1618" spans="1:5">
      <c r="A1618" s="49"/>
      <c r="B1618" s="49"/>
      <c r="C1618" s="49"/>
      <c r="D1618" s="49"/>
      <c r="E1618" s="49"/>
    </row>
    <row r="1619" spans="1:5">
      <c r="A1619" s="49"/>
      <c r="B1619" s="49"/>
      <c r="C1619" s="49"/>
      <c r="D1619" s="49"/>
      <c r="E1619" s="49"/>
    </row>
    <row r="1620" spans="1:5">
      <c r="A1620" s="49"/>
      <c r="B1620" s="49"/>
      <c r="C1620" s="49"/>
      <c r="D1620" s="49"/>
      <c r="E1620" s="49"/>
    </row>
    <row r="1621" spans="1:5">
      <c r="A1621" s="49"/>
      <c r="B1621" s="49"/>
      <c r="C1621" s="49"/>
      <c r="D1621" s="49"/>
      <c r="E1621" s="49"/>
    </row>
    <row r="1622" spans="1:5">
      <c r="A1622" s="49"/>
      <c r="B1622" s="49"/>
      <c r="C1622" s="49"/>
      <c r="D1622" s="49"/>
      <c r="E1622" s="49"/>
    </row>
    <row r="1623" spans="1:5">
      <c r="A1623" s="49"/>
      <c r="B1623" s="49"/>
      <c r="C1623" s="49"/>
      <c r="D1623" s="49"/>
      <c r="E1623" s="49"/>
    </row>
    <row r="1624" spans="1:5">
      <c r="A1624" s="49"/>
      <c r="B1624" s="49"/>
      <c r="C1624" s="49"/>
      <c r="D1624" s="49"/>
      <c r="E1624" s="49"/>
    </row>
    <row r="1625" spans="1:5">
      <c r="A1625" s="49"/>
      <c r="B1625" s="49"/>
      <c r="C1625" s="49"/>
      <c r="D1625" s="49"/>
      <c r="E1625" s="49"/>
    </row>
    <row r="1626" spans="1:5">
      <c r="A1626" s="49"/>
      <c r="B1626" s="49"/>
      <c r="C1626" s="49"/>
      <c r="D1626" s="49"/>
      <c r="E1626" s="49"/>
    </row>
    <row r="1627" spans="1:5">
      <c r="A1627" s="49"/>
      <c r="B1627" s="49"/>
      <c r="C1627" s="49"/>
      <c r="D1627" s="49"/>
      <c r="E1627" s="49"/>
    </row>
    <row r="1628" spans="1:5">
      <c r="A1628" s="49"/>
      <c r="B1628" s="49"/>
      <c r="C1628" s="49"/>
      <c r="D1628" s="49"/>
      <c r="E1628" s="49"/>
    </row>
    <row r="1629" spans="1:5">
      <c r="A1629" s="49"/>
      <c r="B1629" s="49"/>
      <c r="C1629" s="49"/>
      <c r="D1629" s="49"/>
      <c r="E1629" s="49"/>
    </row>
    <row r="1630" spans="1:5">
      <c r="A1630" s="49"/>
      <c r="B1630" s="49"/>
      <c r="C1630" s="49"/>
      <c r="D1630" s="49"/>
      <c r="E1630" s="49"/>
    </row>
    <row r="1631" spans="1:5">
      <c r="A1631" s="49"/>
      <c r="B1631" s="49"/>
      <c r="C1631" s="49"/>
      <c r="D1631" s="49"/>
      <c r="E1631" s="49"/>
    </row>
    <row r="1632" spans="1:5">
      <c r="A1632" s="49"/>
      <c r="B1632" s="49"/>
      <c r="C1632" s="49"/>
      <c r="D1632" s="49"/>
      <c r="E1632" s="49"/>
    </row>
    <row r="1633" spans="1:5">
      <c r="A1633" s="49"/>
      <c r="B1633" s="49"/>
      <c r="C1633" s="49"/>
      <c r="D1633" s="49"/>
      <c r="E1633" s="49"/>
    </row>
    <row r="1634" spans="1:5">
      <c r="A1634" s="49"/>
      <c r="B1634" s="49"/>
      <c r="C1634" s="49"/>
      <c r="D1634" s="49"/>
      <c r="E1634" s="49"/>
    </row>
    <row r="1635" spans="1:5">
      <c r="A1635" s="49"/>
      <c r="B1635" s="49"/>
      <c r="C1635" s="49"/>
      <c r="D1635" s="49"/>
      <c r="E1635" s="49"/>
    </row>
    <row r="1636" spans="1:5">
      <c r="A1636" s="49"/>
      <c r="B1636" s="49"/>
      <c r="C1636" s="49"/>
      <c r="D1636" s="49"/>
      <c r="E1636" s="49"/>
    </row>
    <row r="1637" spans="1:5">
      <c r="A1637" s="49"/>
      <c r="B1637" s="49"/>
      <c r="C1637" s="49"/>
      <c r="D1637" s="49"/>
      <c r="E1637" s="49"/>
    </row>
    <row r="1638" spans="1:5">
      <c r="A1638" s="49"/>
      <c r="B1638" s="49"/>
      <c r="C1638" s="49"/>
      <c r="D1638" s="49"/>
      <c r="E1638" s="49"/>
    </row>
    <row r="1639" spans="1:5">
      <c r="A1639" s="49"/>
      <c r="B1639" s="49"/>
      <c r="C1639" s="49"/>
      <c r="D1639" s="49"/>
      <c r="E1639" s="49"/>
    </row>
    <row r="1640" spans="1:5">
      <c r="A1640" s="49"/>
      <c r="B1640" s="49"/>
      <c r="C1640" s="49"/>
      <c r="D1640" s="49"/>
      <c r="E1640" s="49"/>
    </row>
    <row r="1641" spans="1:5">
      <c r="A1641" s="49"/>
      <c r="B1641" s="49"/>
      <c r="C1641" s="49"/>
      <c r="D1641" s="49"/>
      <c r="E1641" s="49"/>
    </row>
    <row r="1642" spans="1:5">
      <c r="A1642" s="49"/>
      <c r="B1642" s="49"/>
      <c r="C1642" s="49"/>
      <c r="D1642" s="49"/>
      <c r="E1642" s="49"/>
    </row>
    <row r="1643" spans="1:5">
      <c r="A1643" s="49"/>
      <c r="B1643" s="49"/>
      <c r="C1643" s="49"/>
      <c r="D1643" s="49"/>
      <c r="E1643" s="49"/>
    </row>
    <row r="1644" spans="1:5">
      <c r="A1644" s="49"/>
      <c r="B1644" s="49"/>
      <c r="C1644" s="49"/>
      <c r="D1644" s="49"/>
      <c r="E1644" s="49"/>
    </row>
    <row r="1645" spans="1:5">
      <c r="A1645" s="49"/>
      <c r="B1645" s="49"/>
      <c r="C1645" s="49"/>
      <c r="D1645" s="49"/>
      <c r="E1645" s="49"/>
    </row>
    <row r="1646" spans="1:5">
      <c r="A1646" s="49"/>
      <c r="B1646" s="49"/>
      <c r="C1646" s="49"/>
      <c r="D1646" s="49"/>
      <c r="E1646" s="49"/>
    </row>
    <row r="1647" spans="1:5">
      <c r="A1647" s="49"/>
      <c r="B1647" s="49"/>
      <c r="C1647" s="49"/>
      <c r="D1647" s="49"/>
      <c r="E1647" s="49"/>
    </row>
    <row r="1648" spans="1:5">
      <c r="A1648" s="49"/>
      <c r="B1648" s="49"/>
      <c r="C1648" s="49"/>
      <c r="D1648" s="49"/>
      <c r="E1648" s="49"/>
    </row>
    <row r="1649" spans="1:5">
      <c r="A1649" s="49"/>
      <c r="B1649" s="49"/>
      <c r="C1649" s="49"/>
      <c r="D1649" s="49"/>
      <c r="E1649" s="49"/>
    </row>
    <row r="1650" spans="1:5">
      <c r="A1650" s="49"/>
      <c r="B1650" s="49"/>
      <c r="C1650" s="49"/>
      <c r="D1650" s="49"/>
      <c r="E1650" s="49"/>
    </row>
    <row r="1651" spans="1:5">
      <c r="A1651" s="49"/>
      <c r="B1651" s="49"/>
      <c r="C1651" s="49"/>
      <c r="D1651" s="49"/>
      <c r="E1651" s="49"/>
    </row>
    <row r="1652" spans="1:5">
      <c r="A1652" s="49"/>
      <c r="B1652" s="49"/>
      <c r="C1652" s="49"/>
      <c r="D1652" s="49"/>
      <c r="E1652" s="49"/>
    </row>
    <row r="1653" spans="1:5">
      <c r="A1653" s="49"/>
      <c r="B1653" s="49"/>
      <c r="C1653" s="49"/>
      <c r="D1653" s="49"/>
      <c r="E1653" s="49"/>
    </row>
    <row r="1654" spans="1:5">
      <c r="A1654" s="49"/>
      <c r="B1654" s="49"/>
      <c r="C1654" s="49"/>
      <c r="D1654" s="49"/>
      <c r="E1654" s="49"/>
    </row>
    <row r="1655" spans="1:5">
      <c r="A1655" s="49"/>
      <c r="B1655" s="49"/>
      <c r="C1655" s="49"/>
      <c r="D1655" s="49"/>
      <c r="E1655" s="49"/>
    </row>
    <row r="1656" spans="1:5">
      <c r="A1656" s="49"/>
      <c r="B1656" s="49"/>
      <c r="C1656" s="49"/>
      <c r="D1656" s="49"/>
      <c r="E1656" s="49"/>
    </row>
    <row r="1657" spans="1:5">
      <c r="A1657" s="49"/>
      <c r="B1657" s="49"/>
      <c r="C1657" s="49"/>
      <c r="D1657" s="49"/>
      <c r="E1657" s="49"/>
    </row>
    <row r="1658" spans="1:5">
      <c r="A1658" s="49"/>
      <c r="B1658" s="49"/>
      <c r="C1658" s="49"/>
      <c r="D1658" s="49"/>
      <c r="E1658" s="49"/>
    </row>
    <row r="1659" spans="1:5">
      <c r="A1659" s="49"/>
      <c r="B1659" s="49"/>
      <c r="C1659" s="49"/>
      <c r="D1659" s="49"/>
      <c r="E1659" s="49"/>
    </row>
    <row r="1660" spans="1:5">
      <c r="A1660" s="49"/>
      <c r="B1660" s="49"/>
      <c r="C1660" s="49"/>
      <c r="D1660" s="49"/>
      <c r="E1660" s="49"/>
    </row>
    <row r="1661" spans="1:5">
      <c r="A1661" s="49"/>
      <c r="B1661" s="49"/>
      <c r="C1661" s="49"/>
      <c r="D1661" s="49"/>
      <c r="E1661" s="49"/>
    </row>
    <row r="1662" spans="1:5">
      <c r="A1662" s="49"/>
      <c r="B1662" s="49"/>
      <c r="C1662" s="49"/>
      <c r="D1662" s="49"/>
      <c r="E1662" s="49"/>
    </row>
    <row r="1663" spans="1:5">
      <c r="A1663" s="49"/>
      <c r="B1663" s="49"/>
      <c r="C1663" s="49"/>
      <c r="D1663" s="49"/>
      <c r="E1663" s="49"/>
    </row>
    <row r="1664" spans="1:5">
      <c r="A1664" s="49"/>
      <c r="B1664" s="49"/>
      <c r="C1664" s="49"/>
      <c r="D1664" s="49"/>
      <c r="E1664" s="49"/>
    </row>
    <row r="1665" spans="1:5">
      <c r="A1665" s="49"/>
      <c r="B1665" s="49"/>
      <c r="C1665" s="49"/>
      <c r="D1665" s="49"/>
      <c r="E1665" s="49"/>
    </row>
    <row r="1666" spans="1:5">
      <c r="A1666" s="49"/>
      <c r="B1666" s="49"/>
      <c r="C1666" s="49"/>
      <c r="D1666" s="49"/>
      <c r="E1666" s="49"/>
    </row>
    <row r="1667" spans="1:5">
      <c r="A1667" s="49"/>
      <c r="B1667" s="49"/>
      <c r="C1667" s="49"/>
      <c r="D1667" s="49"/>
      <c r="E1667" s="49"/>
    </row>
    <row r="1668" spans="1:5">
      <c r="A1668" s="49"/>
      <c r="B1668" s="49"/>
      <c r="C1668" s="49"/>
      <c r="D1668" s="49"/>
      <c r="E1668" s="49"/>
    </row>
    <row r="1669" spans="1:5">
      <c r="A1669" s="49"/>
      <c r="B1669" s="49"/>
      <c r="C1669" s="49"/>
      <c r="D1669" s="49"/>
      <c r="E1669" s="49"/>
    </row>
    <row r="1670" spans="1:5">
      <c r="A1670" s="49"/>
      <c r="B1670" s="49"/>
      <c r="C1670" s="49"/>
      <c r="D1670" s="49"/>
      <c r="E1670" s="49"/>
    </row>
    <row r="1671" spans="1:5">
      <c r="A1671" s="49"/>
      <c r="B1671" s="49"/>
      <c r="C1671" s="49"/>
      <c r="D1671" s="49"/>
      <c r="E1671" s="49"/>
    </row>
    <row r="1672" spans="1:5">
      <c r="A1672" s="49"/>
      <c r="B1672" s="49"/>
      <c r="C1672" s="49"/>
      <c r="D1672" s="49"/>
      <c r="E1672" s="49"/>
    </row>
    <row r="1673" spans="1:5">
      <c r="A1673" s="49"/>
      <c r="B1673" s="49"/>
      <c r="C1673" s="49"/>
      <c r="D1673" s="49"/>
      <c r="E1673" s="49"/>
    </row>
    <row r="1674" spans="1:5">
      <c r="A1674" s="49"/>
      <c r="B1674" s="49"/>
      <c r="C1674" s="49"/>
      <c r="D1674" s="49"/>
      <c r="E1674" s="49"/>
    </row>
    <row r="1675" spans="1:5">
      <c r="A1675" s="49"/>
      <c r="B1675" s="49"/>
      <c r="C1675" s="49"/>
      <c r="D1675" s="49"/>
      <c r="E1675" s="49"/>
    </row>
    <row r="1676" spans="1:5">
      <c r="A1676" s="49"/>
      <c r="B1676" s="49"/>
      <c r="C1676" s="49"/>
      <c r="D1676" s="49"/>
      <c r="E1676" s="49"/>
    </row>
    <row r="1677" spans="1:5">
      <c r="A1677" s="49"/>
      <c r="B1677" s="49"/>
      <c r="C1677" s="49"/>
      <c r="D1677" s="49"/>
      <c r="E1677" s="49"/>
    </row>
    <row r="1678" spans="1:5">
      <c r="A1678" s="49"/>
      <c r="B1678" s="49"/>
      <c r="C1678" s="49"/>
      <c r="D1678" s="49"/>
      <c r="E1678" s="49"/>
    </row>
    <row r="1679" spans="1:5">
      <c r="A1679" s="49"/>
      <c r="B1679" s="49"/>
      <c r="C1679" s="49"/>
      <c r="D1679" s="49"/>
      <c r="E1679" s="49"/>
    </row>
    <row r="1680" spans="1:5">
      <c r="A1680" s="49"/>
      <c r="B1680" s="49"/>
      <c r="C1680" s="49"/>
      <c r="D1680" s="49"/>
      <c r="E1680" s="49"/>
    </row>
    <row r="1681" spans="1:5">
      <c r="A1681" s="49"/>
      <c r="B1681" s="49"/>
      <c r="C1681" s="49"/>
      <c r="D1681" s="49"/>
      <c r="E1681" s="49"/>
    </row>
    <row r="1682" spans="1:5">
      <c r="A1682" s="49"/>
      <c r="B1682" s="49"/>
      <c r="C1682" s="49"/>
      <c r="D1682" s="49"/>
      <c r="E1682" s="49"/>
    </row>
    <row r="1683" spans="1:5">
      <c r="A1683" s="49"/>
      <c r="B1683" s="49"/>
      <c r="C1683" s="49"/>
      <c r="D1683" s="49"/>
      <c r="E1683" s="49"/>
    </row>
    <row r="1684" spans="1:5">
      <c r="A1684" s="49"/>
      <c r="B1684" s="49"/>
      <c r="C1684" s="49"/>
      <c r="D1684" s="49"/>
      <c r="E1684" s="49"/>
    </row>
    <row r="1685" spans="1:5">
      <c r="A1685" s="49"/>
      <c r="B1685" s="49"/>
      <c r="C1685" s="49"/>
      <c r="D1685" s="49"/>
      <c r="E1685" s="49"/>
    </row>
    <row r="1686" spans="1:5">
      <c r="A1686" s="49"/>
      <c r="B1686" s="49"/>
      <c r="C1686" s="49"/>
      <c r="D1686" s="49"/>
      <c r="E1686" s="49"/>
    </row>
    <row r="1687" spans="1:5">
      <c r="A1687" s="49"/>
      <c r="B1687" s="49"/>
      <c r="C1687" s="49"/>
      <c r="D1687" s="49"/>
      <c r="E1687" s="49"/>
    </row>
    <row r="1688" spans="1:5">
      <c r="A1688" s="49"/>
      <c r="B1688" s="49"/>
      <c r="C1688" s="49"/>
      <c r="D1688" s="49"/>
      <c r="E1688" s="49"/>
    </row>
    <row r="1689" spans="1:5">
      <c r="A1689" s="49"/>
      <c r="B1689" s="49"/>
      <c r="C1689" s="49"/>
      <c r="D1689" s="49"/>
      <c r="E1689" s="49"/>
    </row>
    <row r="1690" spans="1:5">
      <c r="A1690" s="49"/>
      <c r="B1690" s="49"/>
      <c r="C1690" s="49"/>
      <c r="D1690" s="49"/>
      <c r="E1690" s="49"/>
    </row>
    <row r="1691" spans="1:5">
      <c r="A1691" s="49"/>
      <c r="B1691" s="49"/>
      <c r="C1691" s="49"/>
      <c r="D1691" s="49"/>
      <c r="E1691" s="49"/>
    </row>
    <row r="1692" spans="1:5">
      <c r="A1692" s="49"/>
      <c r="B1692" s="49"/>
      <c r="C1692" s="49"/>
      <c r="D1692" s="49"/>
      <c r="E1692" s="49"/>
    </row>
    <row r="1693" spans="1:5">
      <c r="A1693" s="49"/>
      <c r="B1693" s="49"/>
      <c r="C1693" s="49"/>
      <c r="D1693" s="49"/>
      <c r="E1693" s="49"/>
    </row>
    <row r="1694" spans="1:5">
      <c r="A1694" s="49"/>
      <c r="B1694" s="49"/>
      <c r="C1694" s="49"/>
      <c r="D1694" s="49"/>
      <c r="E1694" s="49"/>
    </row>
    <row r="1695" spans="1:5">
      <c r="A1695" s="49"/>
      <c r="B1695" s="49"/>
      <c r="C1695" s="49"/>
      <c r="D1695" s="49"/>
      <c r="E1695" s="49"/>
    </row>
    <row r="1696" spans="1:5">
      <c r="A1696" s="49"/>
      <c r="B1696" s="49"/>
      <c r="C1696" s="49"/>
      <c r="D1696" s="49"/>
      <c r="E1696" s="49"/>
    </row>
    <row r="1697" spans="1:5">
      <c r="A1697" s="49"/>
      <c r="B1697" s="49"/>
      <c r="C1697" s="49"/>
      <c r="D1697" s="49"/>
      <c r="E1697" s="49"/>
    </row>
    <row r="1698" spans="1:5">
      <c r="A1698" s="49"/>
      <c r="B1698" s="49"/>
      <c r="C1698" s="49"/>
      <c r="D1698" s="49"/>
      <c r="E1698" s="49"/>
    </row>
    <row r="1699" spans="1:5">
      <c r="A1699" s="49"/>
      <c r="B1699" s="49"/>
      <c r="C1699" s="49"/>
      <c r="D1699" s="49"/>
      <c r="E1699" s="49"/>
    </row>
    <row r="1700" spans="1:5">
      <c r="A1700" s="49"/>
      <c r="B1700" s="49"/>
      <c r="C1700" s="49"/>
      <c r="D1700" s="49"/>
      <c r="E1700" s="49"/>
    </row>
    <row r="1701" spans="1:5">
      <c r="A1701" s="49"/>
      <c r="B1701" s="49"/>
      <c r="C1701" s="49"/>
      <c r="D1701" s="49"/>
      <c r="E1701" s="49"/>
    </row>
    <row r="1702" spans="1:5">
      <c r="A1702" s="49"/>
      <c r="B1702" s="49"/>
      <c r="C1702" s="49"/>
      <c r="D1702" s="49"/>
      <c r="E1702" s="49"/>
    </row>
    <row r="1703" spans="1:5">
      <c r="A1703" s="49"/>
      <c r="B1703" s="49"/>
      <c r="C1703" s="49"/>
      <c r="D1703" s="49"/>
      <c r="E1703" s="49"/>
    </row>
    <row r="1704" spans="1:5">
      <c r="A1704" s="49"/>
      <c r="B1704" s="49"/>
      <c r="C1704" s="49"/>
      <c r="D1704" s="49"/>
      <c r="E1704" s="49"/>
    </row>
    <row r="1705" spans="1:5">
      <c r="A1705" s="49"/>
      <c r="B1705" s="49"/>
      <c r="C1705" s="49"/>
      <c r="D1705" s="49"/>
      <c r="E1705" s="49"/>
    </row>
    <row r="1706" spans="1:5">
      <c r="A1706" s="49"/>
      <c r="B1706" s="49"/>
      <c r="C1706" s="49"/>
      <c r="D1706" s="49"/>
      <c r="E1706" s="49"/>
    </row>
    <row r="1707" spans="1:5">
      <c r="A1707" s="49"/>
      <c r="B1707" s="49"/>
      <c r="C1707" s="49"/>
      <c r="D1707" s="49"/>
      <c r="E1707" s="49"/>
    </row>
    <row r="1708" spans="1:5">
      <c r="A1708" s="49"/>
      <c r="B1708" s="49"/>
      <c r="C1708" s="49"/>
      <c r="D1708" s="49"/>
      <c r="E1708" s="49"/>
    </row>
    <row r="1709" spans="1:5">
      <c r="A1709" s="49"/>
      <c r="B1709" s="49"/>
      <c r="C1709" s="49"/>
      <c r="D1709" s="49"/>
      <c r="E1709" s="49"/>
    </row>
    <row r="1710" spans="1:5">
      <c r="A1710" s="49"/>
      <c r="B1710" s="49"/>
      <c r="C1710" s="49"/>
      <c r="D1710" s="49"/>
      <c r="E1710" s="49"/>
    </row>
    <row r="1711" spans="1:5">
      <c r="A1711" s="49"/>
      <c r="B1711" s="49"/>
      <c r="C1711" s="49"/>
      <c r="D1711" s="49"/>
      <c r="E1711" s="49"/>
    </row>
    <row r="1712" spans="1:5">
      <c r="A1712" s="49"/>
      <c r="B1712" s="49"/>
      <c r="C1712" s="49"/>
      <c r="D1712" s="49"/>
      <c r="E1712" s="49"/>
    </row>
    <row r="1713" spans="1:5">
      <c r="A1713" s="49"/>
      <c r="B1713" s="49"/>
      <c r="C1713" s="49"/>
      <c r="D1713" s="49"/>
      <c r="E1713" s="49"/>
    </row>
    <row r="1714" spans="1:5">
      <c r="A1714" s="49"/>
      <c r="B1714" s="49"/>
      <c r="C1714" s="49"/>
      <c r="D1714" s="49"/>
      <c r="E1714" s="49"/>
    </row>
    <row r="1715" spans="1:5">
      <c r="A1715" s="49"/>
      <c r="B1715" s="49"/>
      <c r="C1715" s="49"/>
      <c r="D1715" s="49"/>
      <c r="E1715" s="49"/>
    </row>
    <row r="1716" spans="1:5">
      <c r="A1716" s="49"/>
      <c r="B1716" s="49"/>
      <c r="C1716" s="49"/>
      <c r="D1716" s="49"/>
      <c r="E1716" s="49"/>
    </row>
    <row r="1717" spans="1:5">
      <c r="A1717" s="49"/>
      <c r="B1717" s="49"/>
      <c r="C1717" s="49"/>
      <c r="D1717" s="49"/>
      <c r="E1717" s="49"/>
    </row>
    <row r="1718" spans="1:5">
      <c r="A1718" s="49"/>
      <c r="B1718" s="49"/>
      <c r="C1718" s="49"/>
      <c r="D1718" s="49"/>
      <c r="E1718" s="49"/>
    </row>
    <row r="1719" spans="1:5">
      <c r="A1719" s="49"/>
      <c r="B1719" s="49"/>
      <c r="C1719" s="49"/>
      <c r="D1719" s="49"/>
      <c r="E1719" s="49"/>
    </row>
    <row r="1720" spans="1:5">
      <c r="A1720" s="49"/>
      <c r="B1720" s="49"/>
      <c r="C1720" s="49"/>
      <c r="D1720" s="49"/>
      <c r="E1720" s="49"/>
    </row>
    <row r="1721" spans="1:5">
      <c r="A1721" s="49"/>
      <c r="B1721" s="49"/>
      <c r="C1721" s="49"/>
      <c r="D1721" s="49"/>
      <c r="E1721" s="49"/>
    </row>
    <row r="1722" spans="1:5">
      <c r="A1722" s="49"/>
      <c r="B1722" s="49"/>
      <c r="C1722" s="49"/>
      <c r="D1722" s="49"/>
      <c r="E1722" s="49"/>
    </row>
    <row r="1723" spans="1:5">
      <c r="A1723" s="49"/>
      <c r="B1723" s="49"/>
      <c r="C1723" s="49"/>
      <c r="D1723" s="49"/>
      <c r="E1723" s="49"/>
    </row>
    <row r="1724" spans="1:5">
      <c r="A1724" s="49"/>
      <c r="B1724" s="49"/>
      <c r="C1724" s="49"/>
      <c r="D1724" s="49"/>
      <c r="E1724" s="49"/>
    </row>
    <row r="1725" spans="1:5">
      <c r="A1725" s="49"/>
      <c r="B1725" s="49"/>
      <c r="C1725" s="49"/>
      <c r="D1725" s="49"/>
      <c r="E1725" s="49"/>
    </row>
    <row r="1726" spans="1:5">
      <c r="A1726" s="49"/>
      <c r="B1726" s="49"/>
      <c r="C1726" s="49"/>
      <c r="D1726" s="49"/>
      <c r="E1726" s="49"/>
    </row>
    <row r="1727" spans="1:5">
      <c r="A1727" s="49"/>
      <c r="B1727" s="49"/>
      <c r="C1727" s="49"/>
      <c r="D1727" s="49"/>
      <c r="E1727" s="49"/>
    </row>
    <row r="1728" spans="1:5">
      <c r="A1728" s="49"/>
      <c r="B1728" s="49"/>
      <c r="C1728" s="49"/>
      <c r="D1728" s="49"/>
      <c r="E1728" s="49"/>
    </row>
    <row r="1729" spans="1:5">
      <c r="A1729" s="49"/>
      <c r="B1729" s="49"/>
      <c r="C1729" s="49"/>
      <c r="D1729" s="49"/>
      <c r="E1729" s="49"/>
    </row>
    <row r="1730" spans="1:5">
      <c r="A1730" s="49"/>
      <c r="B1730" s="49"/>
      <c r="C1730" s="49"/>
      <c r="D1730" s="49"/>
      <c r="E1730" s="49"/>
    </row>
    <row r="1731" spans="1:5">
      <c r="A1731" s="49"/>
      <c r="B1731" s="49"/>
      <c r="C1731" s="49"/>
      <c r="D1731" s="49"/>
      <c r="E1731" s="49"/>
    </row>
    <row r="1732" spans="1:5">
      <c r="A1732" s="49"/>
      <c r="B1732" s="49"/>
      <c r="C1732" s="49"/>
      <c r="D1732" s="49"/>
      <c r="E1732" s="49"/>
    </row>
    <row r="1733" spans="1:5">
      <c r="A1733" s="49"/>
      <c r="B1733" s="49"/>
      <c r="C1733" s="49"/>
      <c r="D1733" s="49"/>
      <c r="E1733" s="49"/>
    </row>
    <row r="1734" spans="1:5">
      <c r="A1734" s="49"/>
      <c r="B1734" s="49"/>
      <c r="C1734" s="49"/>
      <c r="D1734" s="49"/>
      <c r="E1734" s="49"/>
    </row>
    <row r="1735" spans="1:5">
      <c r="A1735" s="49"/>
      <c r="B1735" s="49"/>
      <c r="C1735" s="49"/>
      <c r="D1735" s="49"/>
      <c r="E1735" s="49"/>
    </row>
    <row r="1736" spans="1:5">
      <c r="A1736" s="49"/>
      <c r="B1736" s="49"/>
      <c r="C1736" s="49"/>
      <c r="D1736" s="49"/>
      <c r="E1736" s="49"/>
    </row>
    <row r="1737" spans="1:5">
      <c r="A1737" s="49"/>
      <c r="B1737" s="49"/>
      <c r="C1737" s="49"/>
      <c r="D1737" s="49"/>
      <c r="E1737" s="49"/>
    </row>
    <row r="1738" spans="1:5">
      <c r="A1738" s="49"/>
      <c r="B1738" s="49"/>
      <c r="C1738" s="49"/>
      <c r="D1738" s="49"/>
      <c r="E1738" s="49"/>
    </row>
    <row r="1739" spans="1:5">
      <c r="A1739" s="49"/>
      <c r="B1739" s="49"/>
      <c r="C1739" s="49"/>
      <c r="D1739" s="49"/>
      <c r="E1739" s="49"/>
    </row>
    <row r="1740" spans="1:5">
      <c r="A1740" s="49"/>
      <c r="B1740" s="49"/>
      <c r="C1740" s="49"/>
      <c r="D1740" s="49"/>
      <c r="E1740" s="49"/>
    </row>
    <row r="1741" spans="1:5">
      <c r="A1741" s="49"/>
      <c r="B1741" s="49"/>
      <c r="C1741" s="49"/>
      <c r="D1741" s="49"/>
      <c r="E1741" s="49"/>
    </row>
    <row r="1742" spans="1:5">
      <c r="A1742" s="49"/>
      <c r="B1742" s="49"/>
      <c r="C1742" s="49"/>
      <c r="D1742" s="49"/>
      <c r="E1742" s="49"/>
    </row>
    <row r="1743" spans="1:5">
      <c r="A1743" s="49"/>
      <c r="B1743" s="49"/>
      <c r="C1743" s="49"/>
      <c r="D1743" s="49"/>
      <c r="E1743" s="49"/>
    </row>
    <row r="1744" spans="1:5">
      <c r="A1744" s="49"/>
      <c r="B1744" s="49"/>
      <c r="C1744" s="49"/>
      <c r="D1744" s="49"/>
      <c r="E1744" s="49"/>
    </row>
    <row r="1745" spans="1:5">
      <c r="A1745" s="49"/>
      <c r="B1745" s="49"/>
      <c r="C1745" s="49"/>
      <c r="D1745" s="49"/>
      <c r="E1745" s="49"/>
    </row>
    <row r="1746" spans="1:5">
      <c r="A1746" s="49"/>
      <c r="B1746" s="49"/>
      <c r="C1746" s="49"/>
      <c r="D1746" s="49"/>
      <c r="E1746" s="49"/>
    </row>
    <row r="1747" spans="1:5">
      <c r="A1747" s="49"/>
      <c r="B1747" s="49"/>
      <c r="C1747" s="49"/>
      <c r="D1747" s="49"/>
      <c r="E1747" s="49"/>
    </row>
    <row r="1748" spans="1:5">
      <c r="A1748" s="49"/>
      <c r="B1748" s="49"/>
      <c r="C1748" s="49"/>
      <c r="D1748" s="49"/>
      <c r="E1748" s="49"/>
    </row>
    <row r="1749" spans="1:5">
      <c r="A1749" s="49"/>
      <c r="B1749" s="49"/>
      <c r="C1749" s="49"/>
      <c r="D1749" s="49"/>
      <c r="E1749" s="49"/>
    </row>
    <row r="1750" spans="1:5">
      <c r="A1750" s="49"/>
      <c r="B1750" s="49"/>
      <c r="C1750" s="49"/>
      <c r="D1750" s="49"/>
      <c r="E1750" s="49"/>
    </row>
    <row r="1751" spans="1:5">
      <c r="A1751" s="49"/>
      <c r="B1751" s="49"/>
      <c r="C1751" s="49"/>
      <c r="D1751" s="49"/>
      <c r="E1751" s="49"/>
    </row>
    <row r="1752" spans="1:5">
      <c r="A1752" s="49"/>
      <c r="B1752" s="49"/>
      <c r="C1752" s="49"/>
      <c r="D1752" s="49"/>
      <c r="E1752" s="49"/>
    </row>
    <row r="1753" spans="1:5">
      <c r="A1753" s="49"/>
      <c r="B1753" s="49"/>
      <c r="C1753" s="49"/>
      <c r="D1753" s="49"/>
      <c r="E1753" s="49"/>
    </row>
    <row r="1754" spans="1:5">
      <c r="A1754" s="49"/>
      <c r="B1754" s="49"/>
      <c r="C1754" s="49"/>
      <c r="D1754" s="49"/>
      <c r="E1754" s="49"/>
    </row>
    <row r="1755" spans="1:5">
      <c r="A1755" s="49"/>
      <c r="B1755" s="49"/>
      <c r="C1755" s="49"/>
      <c r="D1755" s="49"/>
      <c r="E1755" s="49"/>
    </row>
    <row r="1756" spans="1:5">
      <c r="A1756" s="49"/>
      <c r="B1756" s="49"/>
      <c r="C1756" s="49"/>
      <c r="D1756" s="49"/>
      <c r="E1756" s="49"/>
    </row>
    <row r="1757" spans="1:5">
      <c r="A1757" s="49"/>
      <c r="B1757" s="49"/>
      <c r="C1757" s="49"/>
      <c r="D1757" s="49"/>
      <c r="E1757" s="49"/>
    </row>
    <row r="1758" spans="1:5">
      <c r="A1758" s="49"/>
      <c r="B1758" s="49"/>
      <c r="C1758" s="49"/>
      <c r="D1758" s="49"/>
      <c r="E1758" s="49"/>
    </row>
    <row r="1759" spans="1:5">
      <c r="A1759" s="49"/>
      <c r="B1759" s="49"/>
      <c r="C1759" s="49"/>
      <c r="D1759" s="49"/>
      <c r="E1759" s="49"/>
    </row>
    <row r="1760" spans="1:5">
      <c r="A1760" s="49"/>
      <c r="B1760" s="49"/>
      <c r="C1760" s="49"/>
      <c r="D1760" s="49"/>
      <c r="E1760" s="49"/>
    </row>
    <row r="1761" spans="1:5">
      <c r="A1761" s="49"/>
      <c r="B1761" s="49"/>
      <c r="C1761" s="49"/>
      <c r="D1761" s="49"/>
      <c r="E1761" s="49"/>
    </row>
    <row r="1762" spans="1:5">
      <c r="A1762" s="49"/>
      <c r="B1762" s="49"/>
      <c r="C1762" s="49"/>
      <c r="D1762" s="49"/>
      <c r="E1762" s="49"/>
    </row>
    <row r="1763" spans="1:5">
      <c r="A1763" s="49"/>
      <c r="B1763" s="49"/>
      <c r="C1763" s="49"/>
      <c r="D1763" s="49"/>
      <c r="E1763" s="49"/>
    </row>
    <row r="1764" spans="1:5">
      <c r="A1764" s="49"/>
      <c r="B1764" s="49"/>
      <c r="C1764" s="49"/>
      <c r="D1764" s="49"/>
      <c r="E1764" s="49"/>
    </row>
    <row r="1765" spans="1:5">
      <c r="A1765" s="49"/>
      <c r="B1765" s="49"/>
      <c r="C1765" s="49"/>
      <c r="D1765" s="49"/>
      <c r="E1765" s="49"/>
    </row>
    <row r="1766" spans="1:5">
      <c r="A1766" s="49"/>
      <c r="B1766" s="49"/>
      <c r="C1766" s="49"/>
      <c r="D1766" s="49"/>
      <c r="E1766" s="49"/>
    </row>
    <row r="1767" spans="1:5">
      <c r="A1767" s="49"/>
      <c r="B1767" s="49"/>
      <c r="C1767" s="49"/>
      <c r="D1767" s="49"/>
      <c r="E1767" s="49"/>
    </row>
    <row r="1768" spans="1:5">
      <c r="A1768" s="49"/>
      <c r="B1768" s="49"/>
      <c r="C1768" s="49"/>
      <c r="D1768" s="49"/>
      <c r="E1768" s="49"/>
    </row>
    <row r="1769" spans="1:5">
      <c r="A1769" s="49"/>
      <c r="B1769" s="49"/>
      <c r="C1769" s="49"/>
      <c r="D1769" s="49"/>
      <c r="E1769" s="49"/>
    </row>
    <row r="1770" spans="1:5">
      <c r="A1770" s="49"/>
      <c r="B1770" s="49"/>
      <c r="C1770" s="49"/>
      <c r="D1770" s="49"/>
      <c r="E1770" s="49"/>
    </row>
    <row r="1771" spans="1:5">
      <c r="A1771" s="49"/>
      <c r="B1771" s="49"/>
      <c r="C1771" s="49"/>
      <c r="D1771" s="49"/>
      <c r="E1771" s="49"/>
    </row>
    <row r="1772" spans="1:5">
      <c r="A1772" s="49"/>
      <c r="B1772" s="49"/>
      <c r="C1772" s="49"/>
      <c r="D1772" s="49"/>
      <c r="E1772" s="49"/>
    </row>
    <row r="1773" spans="1:5">
      <c r="A1773" s="49"/>
      <c r="B1773" s="49"/>
      <c r="C1773" s="49"/>
      <c r="D1773" s="49"/>
      <c r="E1773" s="49"/>
    </row>
    <row r="1774" spans="1:5">
      <c r="A1774" s="49"/>
      <c r="B1774" s="49"/>
      <c r="C1774" s="49"/>
      <c r="D1774" s="49"/>
      <c r="E1774" s="49"/>
    </row>
    <row r="1775" spans="1:5">
      <c r="A1775" s="49"/>
      <c r="B1775" s="49"/>
      <c r="C1775" s="49"/>
      <c r="D1775" s="49"/>
      <c r="E1775" s="49"/>
    </row>
    <row r="1776" spans="1:5">
      <c r="A1776" s="49"/>
      <c r="B1776" s="49"/>
      <c r="C1776" s="49"/>
      <c r="D1776" s="49"/>
      <c r="E1776" s="49"/>
    </row>
    <row r="1777" spans="1:5">
      <c r="A1777" s="49"/>
      <c r="B1777" s="49"/>
      <c r="C1777" s="49"/>
      <c r="D1777" s="49"/>
      <c r="E1777" s="49"/>
    </row>
    <row r="1778" spans="1:5">
      <c r="A1778" s="49"/>
      <c r="B1778" s="49"/>
      <c r="C1778" s="49"/>
      <c r="D1778" s="49"/>
      <c r="E1778" s="49"/>
    </row>
    <row r="1779" spans="1:5">
      <c r="A1779" s="49"/>
      <c r="B1779" s="49"/>
      <c r="C1779" s="49"/>
      <c r="D1779" s="49"/>
      <c r="E1779" s="49"/>
    </row>
    <row r="1780" spans="1:5">
      <c r="A1780" s="49"/>
      <c r="B1780" s="49"/>
      <c r="C1780" s="49"/>
      <c r="D1780" s="49"/>
      <c r="E1780" s="49"/>
    </row>
    <row r="1781" spans="1:5">
      <c r="A1781" s="49"/>
      <c r="B1781" s="49"/>
      <c r="C1781" s="49"/>
      <c r="D1781" s="49"/>
      <c r="E1781" s="49"/>
    </row>
    <row r="1782" spans="1:5">
      <c r="A1782" s="49"/>
      <c r="B1782" s="49"/>
      <c r="C1782" s="49"/>
      <c r="D1782" s="49"/>
      <c r="E1782" s="49"/>
    </row>
    <row r="1783" spans="1:5">
      <c r="A1783" s="49"/>
      <c r="B1783" s="49"/>
      <c r="C1783" s="49"/>
      <c r="D1783" s="49"/>
      <c r="E1783" s="49"/>
    </row>
    <row r="1784" spans="1:5">
      <c r="A1784" s="49"/>
      <c r="B1784" s="49"/>
      <c r="C1784" s="49"/>
      <c r="D1784" s="49"/>
      <c r="E1784" s="49"/>
    </row>
    <row r="1785" spans="1:5">
      <c r="A1785" s="49"/>
      <c r="B1785" s="49"/>
      <c r="C1785" s="49"/>
      <c r="D1785" s="49"/>
      <c r="E1785" s="49"/>
    </row>
    <row r="1786" spans="1:5">
      <c r="A1786" s="49"/>
      <c r="B1786" s="49"/>
      <c r="C1786" s="49"/>
      <c r="D1786" s="49"/>
      <c r="E1786" s="49"/>
    </row>
    <row r="1787" spans="1:5">
      <c r="A1787" s="49"/>
      <c r="B1787" s="49"/>
      <c r="C1787" s="49"/>
      <c r="D1787" s="49"/>
      <c r="E1787" s="49"/>
    </row>
    <row r="1788" spans="1:5">
      <c r="A1788" s="49"/>
      <c r="B1788" s="49"/>
      <c r="C1788" s="49"/>
      <c r="D1788" s="49"/>
      <c r="E1788" s="49"/>
    </row>
    <row r="1789" spans="1:5">
      <c r="A1789" s="49"/>
      <c r="B1789" s="49"/>
      <c r="C1789" s="49"/>
      <c r="D1789" s="49"/>
      <c r="E1789" s="49"/>
    </row>
    <row r="1790" spans="1:5">
      <c r="A1790" s="49"/>
      <c r="B1790" s="49"/>
      <c r="C1790" s="49"/>
      <c r="D1790" s="49"/>
      <c r="E1790" s="49"/>
    </row>
    <row r="1791" spans="1:5">
      <c r="A1791" s="49"/>
      <c r="B1791" s="49"/>
      <c r="C1791" s="49"/>
      <c r="D1791" s="49"/>
      <c r="E1791" s="49"/>
    </row>
    <row r="1792" spans="1:5">
      <c r="A1792" s="49"/>
      <c r="B1792" s="49"/>
      <c r="C1792" s="49"/>
      <c r="D1792" s="49"/>
      <c r="E1792" s="49"/>
    </row>
    <row r="1793" spans="1:5">
      <c r="A1793" s="49"/>
      <c r="B1793" s="49"/>
      <c r="C1793" s="49"/>
      <c r="D1793" s="49"/>
      <c r="E1793" s="49"/>
    </row>
    <row r="1794" spans="1:5">
      <c r="A1794" s="49"/>
      <c r="B1794" s="49"/>
      <c r="C1794" s="49"/>
      <c r="D1794" s="49"/>
      <c r="E1794" s="49"/>
    </row>
    <row r="1795" spans="1:5">
      <c r="A1795" s="49"/>
      <c r="B1795" s="49"/>
      <c r="C1795" s="49"/>
      <c r="D1795" s="49"/>
      <c r="E1795" s="49"/>
    </row>
    <row r="1796" spans="1:5">
      <c r="A1796" s="49"/>
      <c r="B1796" s="49"/>
      <c r="C1796" s="49"/>
      <c r="D1796" s="49"/>
      <c r="E1796" s="49"/>
    </row>
    <row r="1797" spans="1:5">
      <c r="A1797" s="49"/>
      <c r="B1797" s="49"/>
      <c r="C1797" s="49"/>
      <c r="D1797" s="49"/>
      <c r="E1797" s="49"/>
    </row>
    <row r="1798" spans="1:5">
      <c r="A1798" s="49"/>
      <c r="B1798" s="49"/>
      <c r="C1798" s="49"/>
      <c r="D1798" s="49"/>
      <c r="E1798" s="49"/>
    </row>
    <row r="1799" spans="1:5">
      <c r="A1799" s="49"/>
      <c r="B1799" s="49"/>
      <c r="C1799" s="49"/>
      <c r="D1799" s="49"/>
      <c r="E1799" s="49"/>
    </row>
    <row r="1800" spans="1:5">
      <c r="A1800" s="49"/>
      <c r="B1800" s="49"/>
      <c r="C1800" s="49"/>
      <c r="D1800" s="49"/>
      <c r="E1800" s="49"/>
    </row>
    <row r="1801" spans="1:5">
      <c r="A1801" s="49"/>
      <c r="B1801" s="49"/>
      <c r="C1801" s="49"/>
      <c r="D1801" s="49"/>
      <c r="E1801" s="49"/>
    </row>
    <row r="1802" spans="1:5">
      <c r="A1802" s="49"/>
      <c r="B1802" s="49"/>
      <c r="C1802" s="49"/>
      <c r="D1802" s="49"/>
      <c r="E1802" s="49"/>
    </row>
    <row r="1803" spans="1:5">
      <c r="A1803" s="49"/>
      <c r="B1803" s="49"/>
      <c r="C1803" s="49"/>
      <c r="D1803" s="49"/>
      <c r="E1803" s="49"/>
    </row>
    <row r="1804" spans="1:5">
      <c r="A1804" s="49"/>
      <c r="B1804" s="49"/>
      <c r="C1804" s="49"/>
      <c r="D1804" s="49"/>
      <c r="E1804" s="49"/>
    </row>
    <row r="1805" spans="1:5">
      <c r="A1805" s="49"/>
      <c r="B1805" s="49"/>
      <c r="C1805" s="49"/>
      <c r="D1805" s="49"/>
      <c r="E1805" s="49"/>
    </row>
    <row r="1806" spans="1:5">
      <c r="A1806" s="49"/>
      <c r="B1806" s="49"/>
      <c r="C1806" s="49"/>
      <c r="D1806" s="49"/>
      <c r="E1806" s="49"/>
    </row>
    <row r="1807" spans="1:5">
      <c r="A1807" s="49"/>
      <c r="B1807" s="49"/>
      <c r="C1807" s="49"/>
      <c r="D1807" s="49"/>
      <c r="E1807" s="49"/>
    </row>
    <row r="1808" spans="1:5">
      <c r="A1808" s="49"/>
      <c r="B1808" s="49"/>
      <c r="C1808" s="49"/>
      <c r="D1808" s="49"/>
      <c r="E1808" s="49"/>
    </row>
    <row r="1809" spans="1:5">
      <c r="A1809" s="49"/>
      <c r="B1809" s="49"/>
      <c r="C1809" s="49"/>
      <c r="D1809" s="49"/>
      <c r="E1809" s="49"/>
    </row>
    <row r="1810" spans="1:5">
      <c r="A1810" s="49"/>
      <c r="B1810" s="49"/>
      <c r="C1810" s="49"/>
      <c r="D1810" s="49"/>
      <c r="E1810" s="49"/>
    </row>
    <row r="1811" spans="1:5">
      <c r="A1811" s="49"/>
      <c r="B1811" s="49"/>
      <c r="C1811" s="49"/>
      <c r="D1811" s="49"/>
      <c r="E1811" s="49"/>
    </row>
    <row r="1812" spans="1:5">
      <c r="A1812" s="49"/>
      <c r="B1812" s="49"/>
      <c r="C1812" s="49"/>
      <c r="D1812" s="49"/>
      <c r="E1812" s="49"/>
    </row>
    <row r="1813" spans="1:5">
      <c r="A1813" s="49"/>
      <c r="B1813" s="49"/>
      <c r="C1813" s="49"/>
      <c r="D1813" s="49"/>
      <c r="E1813" s="49"/>
    </row>
    <row r="1814" spans="1:5">
      <c r="A1814" s="49"/>
      <c r="B1814" s="49"/>
      <c r="C1814" s="49"/>
      <c r="D1814" s="49"/>
      <c r="E1814" s="49"/>
    </row>
    <row r="1815" spans="1:5">
      <c r="A1815" s="49"/>
      <c r="B1815" s="49"/>
      <c r="C1815" s="49"/>
      <c r="D1815" s="49"/>
      <c r="E1815" s="49"/>
    </row>
    <row r="1816" spans="1:5">
      <c r="A1816" s="49"/>
      <c r="B1816" s="49"/>
      <c r="C1816" s="49"/>
      <c r="D1816" s="49"/>
      <c r="E1816" s="49"/>
    </row>
    <row r="1817" spans="1:5">
      <c r="A1817" s="49"/>
      <c r="B1817" s="49"/>
      <c r="C1817" s="49"/>
      <c r="D1817" s="49"/>
      <c r="E1817" s="49"/>
    </row>
    <row r="1818" spans="1:5">
      <c r="A1818" s="49"/>
      <c r="B1818" s="49"/>
      <c r="C1818" s="49"/>
      <c r="D1818" s="49"/>
      <c r="E1818" s="49"/>
    </row>
    <row r="1819" spans="1:5">
      <c r="A1819" s="49"/>
      <c r="B1819" s="49"/>
      <c r="C1819" s="49"/>
      <c r="D1819" s="49"/>
      <c r="E1819" s="49"/>
    </row>
    <row r="1820" spans="1:5">
      <c r="A1820" s="49"/>
      <c r="B1820" s="49"/>
      <c r="C1820" s="49"/>
      <c r="D1820" s="49"/>
      <c r="E1820" s="49"/>
    </row>
    <row r="1821" spans="1:5">
      <c r="A1821" s="49"/>
      <c r="B1821" s="49"/>
      <c r="C1821" s="49"/>
      <c r="D1821" s="49"/>
      <c r="E1821" s="49"/>
    </row>
    <row r="1822" spans="1:5">
      <c r="A1822" s="49"/>
      <c r="B1822" s="49"/>
      <c r="C1822" s="49"/>
      <c r="D1822" s="49"/>
      <c r="E1822" s="49"/>
    </row>
    <row r="1823" spans="1:5">
      <c r="A1823" s="49"/>
      <c r="B1823" s="49"/>
      <c r="C1823" s="49"/>
      <c r="D1823" s="49"/>
      <c r="E1823" s="49"/>
    </row>
    <row r="1824" spans="1:5">
      <c r="A1824" s="49"/>
      <c r="B1824" s="49"/>
      <c r="C1824" s="49"/>
      <c r="D1824" s="49"/>
      <c r="E1824" s="49"/>
    </row>
    <row r="1825" spans="1:5">
      <c r="A1825" s="49"/>
      <c r="B1825" s="49"/>
      <c r="C1825" s="49"/>
      <c r="D1825" s="49"/>
      <c r="E1825" s="49"/>
    </row>
    <row r="1826" spans="1:5">
      <c r="A1826" s="49"/>
      <c r="B1826" s="49"/>
      <c r="C1826" s="49"/>
      <c r="D1826" s="49"/>
      <c r="E1826" s="49"/>
    </row>
    <row r="1827" spans="1:5">
      <c r="A1827" s="49"/>
      <c r="B1827" s="49"/>
      <c r="C1827" s="49"/>
      <c r="D1827" s="49"/>
      <c r="E1827" s="49"/>
    </row>
    <row r="1828" spans="1:5">
      <c r="A1828" s="49"/>
      <c r="B1828" s="49"/>
      <c r="C1828" s="49"/>
      <c r="D1828" s="49"/>
      <c r="E1828" s="49"/>
    </row>
    <row r="1829" spans="1:5">
      <c r="A1829" s="49"/>
      <c r="B1829" s="49"/>
      <c r="C1829" s="49"/>
      <c r="D1829" s="49"/>
      <c r="E1829" s="49"/>
    </row>
    <row r="1830" spans="1:5">
      <c r="A1830" s="49"/>
      <c r="B1830" s="49"/>
      <c r="C1830" s="49"/>
      <c r="D1830" s="49"/>
      <c r="E1830" s="49"/>
    </row>
    <row r="1831" spans="1:5">
      <c r="A1831" s="49"/>
      <c r="B1831" s="49"/>
      <c r="C1831" s="49"/>
      <c r="D1831" s="49"/>
      <c r="E1831" s="49"/>
    </row>
    <row r="1832" spans="1:5">
      <c r="A1832" s="49"/>
      <c r="B1832" s="49"/>
      <c r="C1832" s="49"/>
      <c r="D1832" s="49"/>
      <c r="E1832" s="49"/>
    </row>
    <row r="1833" spans="1:5">
      <c r="A1833" s="49"/>
      <c r="B1833" s="49"/>
      <c r="C1833" s="49"/>
      <c r="D1833" s="49"/>
      <c r="E1833" s="49"/>
    </row>
    <row r="1834" spans="1:5">
      <c r="A1834" s="49"/>
      <c r="B1834" s="49"/>
      <c r="C1834" s="49"/>
      <c r="D1834" s="49"/>
      <c r="E1834" s="49"/>
    </row>
    <row r="1835" spans="1:5">
      <c r="A1835" s="49"/>
      <c r="B1835" s="49"/>
      <c r="C1835" s="49"/>
      <c r="D1835" s="49"/>
      <c r="E1835" s="49"/>
    </row>
    <row r="1836" spans="1:5">
      <c r="A1836" s="49"/>
      <c r="B1836" s="49"/>
      <c r="C1836" s="49"/>
      <c r="D1836" s="49"/>
      <c r="E1836" s="49"/>
    </row>
    <row r="1837" spans="1:5">
      <c r="A1837" s="49"/>
      <c r="B1837" s="49"/>
      <c r="C1837" s="49"/>
      <c r="D1837" s="49"/>
      <c r="E1837" s="49"/>
    </row>
    <row r="1838" spans="1:5">
      <c r="A1838" s="49"/>
      <c r="B1838" s="49"/>
      <c r="C1838" s="49"/>
      <c r="D1838" s="49"/>
      <c r="E1838" s="49"/>
    </row>
    <row r="1839" spans="1:5">
      <c r="A1839" s="49"/>
      <c r="B1839" s="49"/>
      <c r="C1839" s="49"/>
      <c r="D1839" s="49"/>
      <c r="E1839" s="49"/>
    </row>
    <row r="1840" spans="1:5">
      <c r="A1840" s="49"/>
      <c r="B1840" s="49"/>
      <c r="C1840" s="49"/>
      <c r="D1840" s="49"/>
      <c r="E1840" s="49"/>
    </row>
    <row r="1841" spans="1:5">
      <c r="A1841" s="49"/>
      <c r="B1841" s="49"/>
      <c r="C1841" s="49"/>
      <c r="D1841" s="49"/>
      <c r="E1841" s="49"/>
    </row>
    <row r="1842" spans="1:5">
      <c r="A1842" s="49"/>
      <c r="B1842" s="49"/>
      <c r="C1842" s="49"/>
      <c r="D1842" s="49"/>
      <c r="E1842" s="49"/>
    </row>
    <row r="1843" spans="1:5">
      <c r="A1843" s="49"/>
      <c r="B1843" s="49"/>
      <c r="C1843" s="49"/>
      <c r="D1843" s="49"/>
      <c r="E1843" s="49"/>
    </row>
    <row r="1844" spans="1:5">
      <c r="A1844" s="49"/>
      <c r="B1844" s="49"/>
      <c r="C1844" s="49"/>
      <c r="D1844" s="49"/>
      <c r="E1844" s="49"/>
    </row>
    <row r="1845" spans="1:5">
      <c r="A1845" s="49"/>
      <c r="B1845" s="49"/>
      <c r="C1845" s="49"/>
      <c r="D1845" s="49"/>
      <c r="E1845" s="49"/>
    </row>
    <row r="1846" spans="1:5">
      <c r="A1846" s="49"/>
      <c r="B1846" s="49"/>
      <c r="C1846" s="49"/>
      <c r="D1846" s="49"/>
      <c r="E1846" s="49"/>
    </row>
    <row r="1847" spans="1:5">
      <c r="A1847" s="49"/>
      <c r="B1847" s="49"/>
      <c r="C1847" s="49"/>
      <c r="D1847" s="49"/>
      <c r="E1847" s="49"/>
    </row>
    <row r="1848" spans="1:5">
      <c r="A1848" s="49"/>
      <c r="B1848" s="49"/>
      <c r="C1848" s="49"/>
      <c r="D1848" s="49"/>
      <c r="E1848" s="49"/>
    </row>
    <row r="1849" spans="1:5">
      <c r="A1849" s="49"/>
      <c r="B1849" s="49"/>
      <c r="C1849" s="49"/>
      <c r="D1849" s="49"/>
      <c r="E1849" s="49"/>
    </row>
    <row r="1850" spans="1:5">
      <c r="A1850" s="49"/>
      <c r="B1850" s="49"/>
      <c r="C1850" s="49"/>
      <c r="D1850" s="49"/>
      <c r="E1850" s="49"/>
    </row>
    <row r="1851" spans="1:5">
      <c r="A1851" s="49"/>
      <c r="B1851" s="49"/>
      <c r="C1851" s="49"/>
      <c r="D1851" s="49"/>
      <c r="E1851" s="49"/>
    </row>
    <row r="1852" spans="1:5">
      <c r="A1852" s="49"/>
      <c r="B1852" s="49"/>
      <c r="C1852" s="49"/>
      <c r="D1852" s="49"/>
      <c r="E1852" s="49"/>
    </row>
    <row r="1853" spans="1:5">
      <c r="A1853" s="49"/>
      <c r="B1853" s="49"/>
      <c r="C1853" s="49"/>
      <c r="D1853" s="49"/>
      <c r="E1853" s="49"/>
    </row>
    <row r="1854" spans="1:5">
      <c r="A1854" s="49"/>
      <c r="B1854" s="49"/>
      <c r="C1854" s="49"/>
      <c r="D1854" s="49"/>
      <c r="E1854" s="49"/>
    </row>
    <row r="1855" spans="1:5">
      <c r="A1855" s="49"/>
      <c r="B1855" s="49"/>
      <c r="C1855" s="49"/>
      <c r="D1855" s="49"/>
      <c r="E1855" s="49"/>
    </row>
    <row r="1856" spans="1:5">
      <c r="A1856" s="49"/>
      <c r="B1856" s="49"/>
      <c r="C1856" s="49"/>
      <c r="D1856" s="49"/>
      <c r="E1856" s="49"/>
    </row>
    <row r="1857" spans="1:5">
      <c r="A1857" s="49"/>
      <c r="B1857" s="49"/>
      <c r="C1857" s="49"/>
      <c r="D1857" s="49"/>
      <c r="E1857" s="49"/>
    </row>
    <row r="1858" spans="1:5">
      <c r="A1858" s="49"/>
      <c r="B1858" s="49"/>
      <c r="C1858" s="49"/>
      <c r="D1858" s="49"/>
      <c r="E1858" s="49"/>
    </row>
    <row r="1859" spans="1:5">
      <c r="A1859" s="49"/>
      <c r="B1859" s="49"/>
      <c r="C1859" s="49"/>
      <c r="D1859" s="49"/>
      <c r="E1859" s="49"/>
    </row>
    <row r="1860" spans="1:5">
      <c r="A1860" s="49"/>
      <c r="B1860" s="49"/>
      <c r="C1860" s="49"/>
      <c r="D1860" s="49"/>
      <c r="E1860" s="49"/>
    </row>
    <row r="1861" spans="1:5">
      <c r="A1861" s="49"/>
      <c r="B1861" s="49"/>
      <c r="C1861" s="49"/>
      <c r="D1861" s="49"/>
      <c r="E1861" s="49"/>
    </row>
    <row r="1862" spans="1:5">
      <c r="A1862" s="49"/>
      <c r="B1862" s="49"/>
      <c r="C1862" s="49"/>
      <c r="D1862" s="49"/>
      <c r="E1862" s="49"/>
    </row>
    <row r="1863" spans="1:5">
      <c r="A1863" s="49"/>
      <c r="B1863" s="49"/>
      <c r="C1863" s="49"/>
      <c r="D1863" s="49"/>
      <c r="E1863" s="49"/>
    </row>
    <row r="1864" spans="1:5">
      <c r="A1864" s="49"/>
      <c r="B1864" s="49"/>
      <c r="C1864" s="49"/>
      <c r="D1864" s="49"/>
      <c r="E1864" s="49"/>
    </row>
    <row r="1865" spans="1:5">
      <c r="A1865" s="49"/>
      <c r="B1865" s="49"/>
      <c r="C1865" s="49"/>
      <c r="D1865" s="49"/>
      <c r="E1865" s="49"/>
    </row>
    <row r="1866" spans="1:5">
      <c r="A1866" s="49"/>
      <c r="B1866" s="49"/>
      <c r="C1866" s="49"/>
      <c r="D1866" s="49"/>
      <c r="E1866" s="49"/>
    </row>
    <row r="1867" spans="1:5">
      <c r="A1867" s="49"/>
      <c r="B1867" s="49"/>
      <c r="C1867" s="49"/>
      <c r="D1867" s="49"/>
      <c r="E1867" s="49"/>
    </row>
    <row r="1868" spans="1:5">
      <c r="A1868" s="49"/>
      <c r="B1868" s="49"/>
      <c r="C1868" s="49"/>
      <c r="D1868" s="49"/>
      <c r="E1868" s="49"/>
    </row>
    <row r="1869" spans="1:5">
      <c r="A1869" s="49"/>
      <c r="B1869" s="49"/>
      <c r="C1869" s="49"/>
      <c r="D1869" s="49"/>
      <c r="E1869" s="49"/>
    </row>
    <row r="1870" spans="1:5">
      <c r="A1870" s="49"/>
      <c r="B1870" s="49"/>
      <c r="C1870" s="49"/>
      <c r="D1870" s="49"/>
      <c r="E1870" s="49"/>
    </row>
    <row r="1871" spans="1:5">
      <c r="A1871" s="49"/>
      <c r="B1871" s="49"/>
      <c r="C1871" s="49"/>
      <c r="D1871" s="49"/>
      <c r="E1871" s="49"/>
    </row>
    <row r="1872" spans="1:5">
      <c r="A1872" s="49"/>
      <c r="B1872" s="49"/>
      <c r="C1872" s="49"/>
      <c r="D1872" s="49"/>
      <c r="E1872" s="49"/>
    </row>
    <row r="1873" spans="1:5">
      <c r="A1873" s="49"/>
      <c r="B1873" s="49"/>
      <c r="C1873" s="49"/>
      <c r="D1873" s="49"/>
      <c r="E1873" s="49"/>
    </row>
    <row r="1874" spans="1:5">
      <c r="A1874" s="49"/>
      <c r="B1874" s="49"/>
      <c r="C1874" s="49"/>
      <c r="D1874" s="49"/>
      <c r="E1874" s="49"/>
    </row>
    <row r="1875" spans="1:5">
      <c r="A1875" s="49"/>
      <c r="B1875" s="49"/>
      <c r="C1875" s="49"/>
      <c r="D1875" s="49"/>
      <c r="E1875" s="49"/>
    </row>
    <row r="1876" spans="1:5">
      <c r="A1876" s="49"/>
      <c r="B1876" s="49"/>
      <c r="C1876" s="49"/>
      <c r="D1876" s="49"/>
      <c r="E1876" s="49"/>
    </row>
    <row r="1877" spans="1:5">
      <c r="A1877" s="49"/>
      <c r="B1877" s="49"/>
      <c r="C1877" s="49"/>
      <c r="D1877" s="49"/>
      <c r="E1877" s="49"/>
    </row>
    <row r="1878" spans="1:5">
      <c r="A1878" s="49"/>
      <c r="B1878" s="49"/>
      <c r="C1878" s="49"/>
      <c r="D1878" s="49"/>
      <c r="E1878" s="49"/>
    </row>
    <row r="1879" spans="1:5">
      <c r="A1879" s="49"/>
      <c r="B1879" s="49"/>
      <c r="C1879" s="49"/>
      <c r="D1879" s="49"/>
      <c r="E1879" s="49"/>
    </row>
    <row r="1880" spans="1:5">
      <c r="A1880" s="49"/>
      <c r="B1880" s="49"/>
      <c r="C1880" s="49"/>
      <c r="D1880" s="49"/>
      <c r="E1880" s="49"/>
    </row>
    <row r="1881" spans="1:5">
      <c r="A1881" s="49"/>
      <c r="B1881" s="49"/>
      <c r="C1881" s="49"/>
      <c r="D1881" s="49"/>
      <c r="E1881" s="49"/>
    </row>
    <row r="1882" spans="1:5">
      <c r="A1882" s="49"/>
      <c r="B1882" s="49"/>
      <c r="C1882" s="49"/>
      <c r="D1882" s="49"/>
      <c r="E1882" s="49"/>
    </row>
    <row r="1883" spans="1:5">
      <c r="A1883" s="49"/>
      <c r="B1883" s="49"/>
      <c r="C1883" s="49"/>
      <c r="D1883" s="49"/>
      <c r="E1883" s="49"/>
    </row>
    <row r="1884" spans="1:5">
      <c r="A1884" s="49"/>
      <c r="B1884" s="49"/>
      <c r="C1884" s="49"/>
      <c r="D1884" s="49"/>
      <c r="E1884" s="49"/>
    </row>
    <row r="1885" spans="1:5">
      <c r="A1885" s="49"/>
      <c r="B1885" s="49"/>
      <c r="C1885" s="49"/>
      <c r="D1885" s="49"/>
      <c r="E1885" s="49"/>
    </row>
    <row r="1886" spans="1:5">
      <c r="A1886" s="49"/>
      <c r="B1886" s="49"/>
      <c r="C1886" s="49"/>
      <c r="D1886" s="49"/>
      <c r="E1886" s="49"/>
    </row>
    <row r="1887" spans="1:5">
      <c r="A1887" s="49"/>
      <c r="B1887" s="49"/>
      <c r="C1887" s="49"/>
      <c r="D1887" s="49"/>
      <c r="E1887" s="49"/>
    </row>
    <row r="1888" spans="1:5">
      <c r="A1888" s="49"/>
      <c r="B1888" s="49"/>
      <c r="C1888" s="49"/>
      <c r="D1888" s="49"/>
      <c r="E1888" s="49"/>
    </row>
    <row r="1889" spans="1:5">
      <c r="A1889" s="49"/>
      <c r="B1889" s="49"/>
      <c r="C1889" s="49"/>
      <c r="D1889" s="49"/>
      <c r="E1889" s="49"/>
    </row>
    <row r="1890" spans="1:5">
      <c r="A1890" s="49"/>
      <c r="B1890" s="49"/>
      <c r="C1890" s="49"/>
      <c r="D1890" s="49"/>
      <c r="E1890" s="49"/>
    </row>
    <row r="1891" spans="1:5">
      <c r="A1891" s="49"/>
      <c r="B1891" s="49"/>
      <c r="C1891" s="49"/>
      <c r="D1891" s="49"/>
      <c r="E1891" s="49"/>
    </row>
    <row r="1892" spans="1:5">
      <c r="A1892" s="49"/>
      <c r="B1892" s="49"/>
      <c r="C1892" s="49"/>
      <c r="D1892" s="49"/>
      <c r="E1892" s="49"/>
    </row>
    <row r="1893" spans="1:5">
      <c r="A1893" s="49"/>
      <c r="B1893" s="49"/>
      <c r="C1893" s="49"/>
      <c r="D1893" s="49"/>
      <c r="E1893" s="49"/>
    </row>
    <row r="1894" spans="1:5">
      <c r="A1894" s="49"/>
      <c r="B1894" s="49"/>
      <c r="C1894" s="49"/>
      <c r="D1894" s="49"/>
      <c r="E1894" s="49"/>
    </row>
    <row r="1895" spans="1:5">
      <c r="A1895" s="49"/>
      <c r="B1895" s="49"/>
      <c r="C1895" s="49"/>
      <c r="D1895" s="49"/>
      <c r="E1895" s="49"/>
    </row>
    <row r="1896" spans="1:5">
      <c r="A1896" s="49"/>
      <c r="B1896" s="49"/>
      <c r="C1896" s="49"/>
      <c r="D1896" s="49"/>
      <c r="E1896" s="49"/>
    </row>
    <row r="1897" spans="1:5">
      <c r="A1897" s="49"/>
      <c r="B1897" s="49"/>
      <c r="C1897" s="49"/>
      <c r="D1897" s="49"/>
      <c r="E1897" s="49"/>
    </row>
    <row r="1898" spans="1:5">
      <c r="A1898" s="49"/>
      <c r="B1898" s="49"/>
      <c r="C1898" s="49"/>
      <c r="D1898" s="49"/>
      <c r="E1898" s="49"/>
    </row>
    <row r="1899" spans="1:5">
      <c r="A1899" s="49"/>
      <c r="B1899" s="49"/>
      <c r="C1899" s="49"/>
      <c r="D1899" s="49"/>
      <c r="E1899" s="49"/>
    </row>
    <row r="1900" spans="1:5">
      <c r="A1900" s="49"/>
      <c r="B1900" s="49"/>
      <c r="C1900" s="49"/>
      <c r="D1900" s="49"/>
      <c r="E1900" s="49"/>
    </row>
    <row r="1901" spans="1:5">
      <c r="A1901" s="49"/>
      <c r="B1901" s="49"/>
      <c r="C1901" s="49"/>
      <c r="D1901" s="49"/>
      <c r="E1901" s="49"/>
    </row>
    <row r="1902" spans="1:5">
      <c r="A1902" s="49"/>
      <c r="B1902" s="49"/>
      <c r="C1902" s="49"/>
      <c r="D1902" s="49"/>
      <c r="E1902" s="49"/>
    </row>
    <row r="1903" spans="1:5">
      <c r="A1903" s="49"/>
      <c r="B1903" s="49"/>
      <c r="C1903" s="49"/>
      <c r="D1903" s="49"/>
      <c r="E1903" s="49"/>
    </row>
    <row r="1904" spans="1:5">
      <c r="A1904" s="49"/>
      <c r="B1904" s="49"/>
      <c r="C1904" s="49"/>
      <c r="D1904" s="49"/>
      <c r="E1904" s="49"/>
    </row>
    <row r="1905" spans="1:5">
      <c r="A1905" s="49"/>
      <c r="B1905" s="49"/>
      <c r="C1905" s="49"/>
      <c r="D1905" s="49"/>
      <c r="E1905" s="49"/>
    </row>
    <row r="1906" spans="1:5">
      <c r="A1906" s="49"/>
      <c r="B1906" s="49"/>
      <c r="C1906" s="49"/>
      <c r="D1906" s="49"/>
      <c r="E1906" s="49"/>
    </row>
    <row r="1907" spans="1:5">
      <c r="A1907" s="49"/>
      <c r="B1907" s="49"/>
      <c r="C1907" s="49"/>
      <c r="D1907" s="49"/>
      <c r="E1907" s="49"/>
    </row>
    <row r="1908" spans="1:5">
      <c r="A1908" s="49"/>
      <c r="B1908" s="49"/>
      <c r="C1908" s="49"/>
      <c r="D1908" s="49"/>
      <c r="E1908" s="49"/>
    </row>
    <row r="1909" spans="1:5">
      <c r="A1909" s="49"/>
      <c r="B1909" s="49"/>
      <c r="C1909" s="49"/>
      <c r="D1909" s="49"/>
      <c r="E1909" s="49"/>
    </row>
    <row r="1910" spans="1:5">
      <c r="A1910" s="49"/>
      <c r="B1910" s="49"/>
      <c r="C1910" s="49"/>
      <c r="D1910" s="49"/>
      <c r="E1910" s="49"/>
    </row>
    <row r="1911" spans="1:5">
      <c r="A1911" s="49"/>
      <c r="B1911" s="49"/>
      <c r="C1911" s="49"/>
      <c r="D1911" s="49"/>
      <c r="E1911" s="49"/>
    </row>
    <row r="1912" spans="1:5">
      <c r="A1912" s="49"/>
      <c r="B1912" s="49"/>
      <c r="C1912" s="49"/>
      <c r="D1912" s="49"/>
      <c r="E1912" s="49"/>
    </row>
    <row r="1913" spans="1:5">
      <c r="A1913" s="49"/>
      <c r="B1913" s="49"/>
      <c r="C1913" s="49"/>
      <c r="D1913" s="49"/>
      <c r="E1913" s="49"/>
    </row>
    <row r="1914" spans="1:5">
      <c r="A1914" s="49"/>
      <c r="B1914" s="49"/>
      <c r="C1914" s="49"/>
      <c r="D1914" s="49"/>
      <c r="E1914" s="49"/>
    </row>
    <row r="1915" spans="1:5">
      <c r="A1915" s="49"/>
      <c r="B1915" s="49"/>
      <c r="C1915" s="49"/>
      <c r="D1915" s="49"/>
      <c r="E1915" s="49"/>
    </row>
    <row r="1916" spans="1:5">
      <c r="A1916" s="49"/>
      <c r="B1916" s="49"/>
      <c r="C1916" s="49"/>
      <c r="D1916" s="49"/>
      <c r="E1916" s="49"/>
    </row>
    <row r="1917" spans="1:5">
      <c r="A1917" s="49"/>
      <c r="B1917" s="49"/>
      <c r="C1917" s="49"/>
      <c r="D1917" s="49"/>
      <c r="E1917" s="49"/>
    </row>
    <row r="1918" spans="1:5">
      <c r="A1918" s="49"/>
      <c r="B1918" s="49"/>
      <c r="C1918" s="49"/>
      <c r="D1918" s="49"/>
      <c r="E1918" s="49"/>
    </row>
    <row r="1919" spans="1:5">
      <c r="A1919" s="49"/>
      <c r="B1919" s="49"/>
      <c r="C1919" s="49"/>
      <c r="D1919" s="49"/>
      <c r="E1919" s="49"/>
    </row>
    <row r="1920" spans="1:5">
      <c r="A1920" s="49"/>
      <c r="B1920" s="49"/>
      <c r="C1920" s="49"/>
      <c r="D1920" s="49"/>
      <c r="E1920" s="49"/>
    </row>
    <row r="1921" spans="1:5">
      <c r="A1921" s="49"/>
      <c r="B1921" s="49"/>
      <c r="C1921" s="49"/>
      <c r="D1921" s="49"/>
      <c r="E1921" s="49"/>
    </row>
    <row r="1922" spans="1:5">
      <c r="A1922" s="49"/>
      <c r="B1922" s="49"/>
      <c r="C1922" s="49"/>
      <c r="D1922" s="49"/>
      <c r="E1922" s="49"/>
    </row>
    <row r="1923" spans="1:5">
      <c r="A1923" s="49"/>
      <c r="B1923" s="49"/>
      <c r="C1923" s="49"/>
      <c r="D1923" s="49"/>
      <c r="E1923" s="49"/>
    </row>
    <row r="1924" spans="1:5">
      <c r="A1924" s="49"/>
      <c r="B1924" s="49"/>
      <c r="C1924" s="49"/>
      <c r="D1924" s="49"/>
      <c r="E1924" s="49"/>
    </row>
    <row r="1925" spans="1:5">
      <c r="A1925" s="49"/>
      <c r="B1925" s="49"/>
      <c r="C1925" s="49"/>
      <c r="D1925" s="49"/>
      <c r="E1925" s="49"/>
    </row>
    <row r="1926" spans="1:5">
      <c r="A1926" s="49"/>
      <c r="B1926" s="49"/>
      <c r="C1926" s="49"/>
      <c r="D1926" s="49"/>
      <c r="E1926" s="49"/>
    </row>
    <row r="1927" spans="1:5">
      <c r="A1927" s="49"/>
      <c r="B1927" s="49"/>
      <c r="C1927" s="49"/>
      <c r="D1927" s="49"/>
      <c r="E1927" s="49"/>
    </row>
    <row r="1928" spans="1:5">
      <c r="A1928" s="49"/>
      <c r="B1928" s="49"/>
      <c r="C1928" s="49"/>
      <c r="D1928" s="49"/>
      <c r="E1928" s="49"/>
    </row>
    <row r="1929" spans="1:5">
      <c r="A1929" s="49"/>
      <c r="B1929" s="49"/>
      <c r="C1929" s="49"/>
      <c r="D1929" s="49"/>
      <c r="E1929" s="49"/>
    </row>
    <row r="1930" spans="1:5">
      <c r="A1930" s="49"/>
      <c r="B1930" s="49"/>
      <c r="C1930" s="49"/>
      <c r="D1930" s="49"/>
      <c r="E1930" s="49"/>
    </row>
    <row r="1931" spans="1:5">
      <c r="A1931" s="49"/>
      <c r="B1931" s="49"/>
      <c r="C1931" s="49"/>
      <c r="D1931" s="49"/>
      <c r="E1931" s="49"/>
    </row>
    <row r="1932" spans="1:5">
      <c r="A1932" s="49"/>
      <c r="B1932" s="49"/>
      <c r="C1932" s="49"/>
      <c r="D1932" s="49"/>
      <c r="E1932" s="49"/>
    </row>
    <row r="1933" spans="1:5">
      <c r="A1933" s="49"/>
      <c r="B1933" s="49"/>
      <c r="C1933" s="49"/>
      <c r="D1933" s="49"/>
      <c r="E1933" s="49"/>
    </row>
    <row r="1934" spans="1:5">
      <c r="A1934" s="49"/>
      <c r="B1934" s="49"/>
      <c r="C1934" s="49"/>
      <c r="D1934" s="49"/>
      <c r="E1934" s="49"/>
    </row>
    <row r="1935" spans="1:5">
      <c r="A1935" s="49"/>
      <c r="B1935" s="49"/>
      <c r="C1935" s="49"/>
      <c r="D1935" s="49"/>
      <c r="E1935" s="49"/>
    </row>
    <row r="1936" spans="1:5">
      <c r="A1936" s="49"/>
      <c r="B1936" s="49"/>
      <c r="C1936" s="49"/>
      <c r="D1936" s="49"/>
      <c r="E1936" s="49"/>
    </row>
    <row r="1937" spans="1:5">
      <c r="A1937" s="49"/>
      <c r="B1937" s="49"/>
      <c r="C1937" s="49"/>
      <c r="D1937" s="49"/>
      <c r="E1937" s="49"/>
    </row>
    <row r="1938" spans="1:5">
      <c r="A1938" s="49"/>
      <c r="B1938" s="49"/>
      <c r="C1938" s="49"/>
      <c r="D1938" s="49"/>
      <c r="E1938" s="49"/>
    </row>
    <row r="1939" spans="1:5">
      <c r="A1939" s="49"/>
      <c r="B1939" s="49"/>
      <c r="C1939" s="49"/>
      <c r="D1939" s="49"/>
      <c r="E1939" s="49"/>
    </row>
    <row r="1940" spans="1:5">
      <c r="A1940" s="49"/>
      <c r="B1940" s="49"/>
      <c r="C1940" s="49"/>
      <c r="D1940" s="49"/>
      <c r="E1940" s="49"/>
    </row>
    <row r="1941" spans="1:5">
      <c r="A1941" s="49"/>
      <c r="B1941" s="49"/>
      <c r="C1941" s="49"/>
      <c r="D1941" s="49"/>
      <c r="E1941" s="49"/>
    </row>
    <row r="1942" spans="1:5">
      <c r="A1942" s="49"/>
      <c r="B1942" s="49"/>
      <c r="C1942" s="49"/>
      <c r="D1942" s="49"/>
      <c r="E1942" s="49"/>
    </row>
    <row r="1943" spans="1:5">
      <c r="A1943" s="49"/>
      <c r="B1943" s="49"/>
      <c r="C1943" s="49"/>
      <c r="D1943" s="49"/>
      <c r="E1943" s="49"/>
    </row>
    <row r="1944" spans="1:5">
      <c r="A1944" s="49"/>
      <c r="B1944" s="49"/>
      <c r="C1944" s="49"/>
      <c r="D1944" s="49"/>
      <c r="E1944" s="49"/>
    </row>
    <row r="1945" spans="1:5">
      <c r="A1945" s="49"/>
      <c r="B1945" s="49"/>
      <c r="C1945" s="49"/>
      <c r="D1945" s="49"/>
      <c r="E1945" s="49"/>
    </row>
    <row r="1946" spans="1:5">
      <c r="A1946" s="49"/>
      <c r="B1946" s="49"/>
      <c r="C1946" s="49"/>
      <c r="D1946" s="49"/>
      <c r="E1946" s="49"/>
    </row>
    <row r="1947" spans="1:5">
      <c r="A1947" s="49"/>
      <c r="B1947" s="49"/>
      <c r="C1947" s="49"/>
      <c r="D1947" s="49"/>
      <c r="E1947" s="49"/>
    </row>
    <row r="1948" spans="1:5">
      <c r="A1948" s="49"/>
      <c r="B1948" s="49"/>
      <c r="C1948" s="49"/>
      <c r="D1948" s="49"/>
      <c r="E1948" s="49"/>
    </row>
    <row r="1949" spans="1:5">
      <c r="A1949" s="49"/>
      <c r="B1949" s="49"/>
      <c r="C1949" s="49"/>
      <c r="D1949" s="49"/>
      <c r="E1949" s="49"/>
    </row>
    <row r="1950" spans="1:5">
      <c r="A1950" s="49"/>
      <c r="B1950" s="49"/>
      <c r="C1950" s="49"/>
      <c r="D1950" s="49"/>
      <c r="E1950" s="49"/>
    </row>
    <row r="1951" spans="1:5">
      <c r="A1951" s="49"/>
      <c r="B1951" s="49"/>
      <c r="C1951" s="49"/>
      <c r="D1951" s="49"/>
      <c r="E1951" s="49"/>
    </row>
    <row r="1952" spans="1:5">
      <c r="A1952" s="49"/>
      <c r="B1952" s="49"/>
      <c r="C1952" s="49"/>
      <c r="D1952" s="49"/>
      <c r="E1952" s="49"/>
    </row>
    <row r="1953" spans="1:5">
      <c r="A1953" s="49"/>
      <c r="B1953" s="49"/>
      <c r="C1953" s="49"/>
      <c r="D1953" s="49"/>
      <c r="E1953" s="49"/>
    </row>
    <row r="1954" spans="1:5">
      <c r="A1954" s="49"/>
      <c r="B1954" s="49"/>
      <c r="C1954" s="49"/>
      <c r="D1954" s="49"/>
      <c r="E1954" s="49"/>
    </row>
    <row r="1955" spans="1:5">
      <c r="A1955" s="49"/>
      <c r="B1955" s="49"/>
      <c r="C1955" s="49"/>
      <c r="D1955" s="49"/>
      <c r="E1955" s="49"/>
    </row>
    <row r="1956" spans="1:5">
      <c r="A1956" s="49"/>
      <c r="B1956" s="49"/>
      <c r="C1956" s="49"/>
      <c r="D1956" s="49"/>
      <c r="E1956" s="49"/>
    </row>
    <row r="1957" spans="1:5">
      <c r="A1957" s="49"/>
      <c r="B1957" s="49"/>
      <c r="C1957" s="49"/>
      <c r="D1957" s="49"/>
      <c r="E1957" s="49"/>
    </row>
    <row r="1958" spans="1:5">
      <c r="A1958" s="49"/>
      <c r="B1958" s="49"/>
      <c r="C1958" s="49"/>
      <c r="D1958" s="49"/>
      <c r="E1958" s="49"/>
    </row>
    <row r="1959" spans="1:5">
      <c r="A1959" s="49"/>
      <c r="B1959" s="49"/>
      <c r="C1959" s="49"/>
      <c r="D1959" s="49"/>
      <c r="E1959" s="49"/>
    </row>
    <row r="1960" spans="1:5">
      <c r="A1960" s="49"/>
      <c r="B1960" s="49"/>
      <c r="C1960" s="49"/>
      <c r="D1960" s="49"/>
      <c r="E1960" s="49"/>
    </row>
    <row r="1961" spans="1:5">
      <c r="A1961" s="49"/>
      <c r="B1961" s="49"/>
      <c r="C1961" s="49"/>
      <c r="D1961" s="49"/>
      <c r="E1961" s="49"/>
    </row>
    <row r="1962" spans="1:5">
      <c r="A1962" s="49"/>
      <c r="B1962" s="49"/>
      <c r="C1962" s="49"/>
      <c r="D1962" s="49"/>
      <c r="E1962" s="49"/>
    </row>
    <row r="1963" spans="1:5">
      <c r="A1963" s="49"/>
      <c r="B1963" s="49"/>
      <c r="C1963" s="49"/>
      <c r="D1963" s="49"/>
      <c r="E1963" s="49"/>
    </row>
    <row r="1964" spans="1:5">
      <c r="A1964" s="49"/>
      <c r="B1964" s="49"/>
      <c r="C1964" s="49"/>
      <c r="D1964" s="49"/>
      <c r="E1964" s="49"/>
    </row>
    <row r="1965" spans="1:5">
      <c r="A1965" s="49"/>
      <c r="B1965" s="49"/>
      <c r="C1965" s="49"/>
      <c r="D1965" s="49"/>
      <c r="E1965" s="49"/>
    </row>
    <row r="1966" spans="1:5">
      <c r="A1966" s="49"/>
      <c r="B1966" s="49"/>
      <c r="C1966" s="49"/>
      <c r="D1966" s="49"/>
      <c r="E1966" s="49"/>
    </row>
    <row r="1967" spans="1:5">
      <c r="A1967" s="49"/>
      <c r="B1967" s="49"/>
      <c r="C1967" s="49"/>
      <c r="D1967" s="49"/>
      <c r="E1967" s="49"/>
    </row>
    <row r="1968" spans="1:5">
      <c r="A1968" s="49"/>
      <c r="B1968" s="49"/>
      <c r="C1968" s="49"/>
      <c r="D1968" s="49"/>
      <c r="E1968" s="49"/>
    </row>
    <row r="1969" spans="1:5">
      <c r="A1969" s="49"/>
      <c r="B1969" s="49"/>
      <c r="C1969" s="49"/>
      <c r="D1969" s="49"/>
      <c r="E1969" s="49"/>
    </row>
    <row r="1970" spans="1:5">
      <c r="A1970" s="49"/>
      <c r="B1970" s="49"/>
      <c r="C1970" s="49"/>
      <c r="D1970" s="49"/>
      <c r="E1970" s="49"/>
    </row>
    <row r="1971" spans="1:5">
      <c r="A1971" s="49"/>
      <c r="B1971" s="49"/>
      <c r="C1971" s="49"/>
      <c r="D1971" s="49"/>
      <c r="E1971" s="49"/>
    </row>
    <row r="1972" spans="1:5">
      <c r="A1972" s="49"/>
      <c r="B1972" s="49"/>
      <c r="C1972" s="49"/>
      <c r="D1972" s="49"/>
      <c r="E1972" s="49"/>
    </row>
    <row r="1973" spans="1:5">
      <c r="A1973" s="49"/>
      <c r="B1973" s="49"/>
      <c r="C1973" s="49"/>
      <c r="D1973" s="49"/>
      <c r="E1973" s="49"/>
    </row>
    <row r="1974" spans="1:5">
      <c r="A1974" s="49"/>
      <c r="B1974" s="49"/>
      <c r="C1974" s="49"/>
      <c r="D1974" s="49"/>
      <c r="E1974" s="49"/>
    </row>
    <row r="1975" spans="1:5">
      <c r="A1975" s="49"/>
      <c r="B1975" s="49"/>
      <c r="C1975" s="49"/>
      <c r="D1975" s="49"/>
      <c r="E1975" s="49"/>
    </row>
    <row r="1976" spans="1:5">
      <c r="A1976" s="49"/>
      <c r="B1976" s="49"/>
      <c r="C1976" s="49"/>
      <c r="D1976" s="49"/>
      <c r="E1976" s="49"/>
    </row>
    <row r="1977" spans="1:5">
      <c r="A1977" s="49"/>
      <c r="B1977" s="49"/>
      <c r="C1977" s="49"/>
      <c r="D1977" s="49"/>
      <c r="E1977" s="49"/>
    </row>
    <row r="1978" spans="1:5">
      <c r="A1978" s="49"/>
      <c r="B1978" s="49"/>
      <c r="C1978" s="49"/>
      <c r="D1978" s="49"/>
      <c r="E1978" s="49"/>
    </row>
    <row r="1979" spans="1:5">
      <c r="A1979" s="49"/>
      <c r="B1979" s="49"/>
      <c r="C1979" s="49"/>
      <c r="D1979" s="49"/>
      <c r="E1979" s="49"/>
    </row>
    <row r="1980" spans="1:5">
      <c r="A1980" s="49"/>
      <c r="B1980" s="49"/>
      <c r="C1980" s="49"/>
      <c r="D1980" s="49"/>
      <c r="E1980" s="49"/>
    </row>
    <row r="1981" spans="1:5">
      <c r="A1981" s="49"/>
      <c r="B1981" s="49"/>
      <c r="C1981" s="49"/>
      <c r="D1981" s="49"/>
      <c r="E1981" s="49"/>
    </row>
    <row r="1982" spans="1:5">
      <c r="A1982" s="49"/>
      <c r="B1982" s="49"/>
      <c r="C1982" s="49"/>
      <c r="D1982" s="49"/>
      <c r="E1982" s="49"/>
    </row>
    <row r="1983" spans="1:5">
      <c r="A1983" s="49"/>
      <c r="B1983" s="49"/>
      <c r="C1983" s="49"/>
      <c r="D1983" s="49"/>
      <c r="E1983" s="49"/>
    </row>
    <row r="1984" spans="1:5">
      <c r="A1984" s="49"/>
      <c r="B1984" s="49"/>
      <c r="C1984" s="49"/>
      <c r="D1984" s="49"/>
      <c r="E1984" s="49"/>
    </row>
    <row r="1985" spans="1:5">
      <c r="A1985" s="49"/>
      <c r="B1985" s="49"/>
      <c r="C1985" s="49"/>
      <c r="D1985" s="49"/>
      <c r="E1985" s="49"/>
    </row>
    <row r="1986" spans="1:5">
      <c r="A1986" s="49"/>
      <c r="B1986" s="49"/>
      <c r="C1986" s="49"/>
      <c r="D1986" s="49"/>
      <c r="E1986" s="49"/>
    </row>
    <row r="1987" spans="1:5">
      <c r="A1987" s="49"/>
      <c r="B1987" s="49"/>
      <c r="C1987" s="49"/>
      <c r="D1987" s="49"/>
      <c r="E1987" s="49"/>
    </row>
    <row r="1988" spans="1:5">
      <c r="A1988" s="49"/>
      <c r="B1988" s="49"/>
      <c r="C1988" s="49"/>
      <c r="D1988" s="49"/>
      <c r="E1988" s="49"/>
    </row>
    <row r="1989" spans="1:5">
      <c r="A1989" s="49"/>
      <c r="B1989" s="49"/>
      <c r="C1989" s="49"/>
      <c r="D1989" s="49"/>
      <c r="E1989" s="49"/>
    </row>
    <row r="1990" spans="1:5">
      <c r="A1990" s="49"/>
      <c r="B1990" s="49"/>
      <c r="C1990" s="49"/>
      <c r="D1990" s="49"/>
      <c r="E1990" s="49"/>
    </row>
    <row r="1991" spans="1:5">
      <c r="A1991" s="49"/>
      <c r="B1991" s="49"/>
      <c r="C1991" s="49"/>
      <c r="D1991" s="49"/>
      <c r="E1991" s="49"/>
    </row>
    <row r="1992" spans="1:5">
      <c r="A1992" s="49"/>
      <c r="B1992" s="49"/>
      <c r="C1992" s="49"/>
      <c r="D1992" s="49"/>
      <c r="E1992" s="49"/>
    </row>
    <row r="1993" spans="1:5">
      <c r="A1993" s="49"/>
      <c r="B1993" s="49"/>
      <c r="C1993" s="49"/>
      <c r="D1993" s="49"/>
      <c r="E1993" s="49"/>
    </row>
    <row r="1994" spans="1:5">
      <c r="A1994" s="49"/>
      <c r="B1994" s="49"/>
      <c r="C1994" s="49"/>
      <c r="D1994" s="49"/>
      <c r="E1994" s="49"/>
    </row>
    <row r="1995" spans="1:5">
      <c r="A1995" s="49"/>
      <c r="B1995" s="49"/>
      <c r="C1995" s="49"/>
      <c r="D1995" s="49"/>
      <c r="E1995" s="49"/>
    </row>
    <row r="1996" spans="1:5">
      <c r="A1996" s="49"/>
      <c r="B1996" s="49"/>
      <c r="C1996" s="49"/>
      <c r="D1996" s="49"/>
      <c r="E1996" s="49"/>
    </row>
    <row r="1997" spans="1:5">
      <c r="A1997" s="49"/>
      <c r="B1997" s="49"/>
      <c r="C1997" s="49"/>
      <c r="D1997" s="49"/>
      <c r="E1997" s="49"/>
    </row>
    <row r="1998" spans="1:5">
      <c r="A1998" s="49"/>
      <c r="B1998" s="49"/>
      <c r="C1998" s="49"/>
      <c r="D1998" s="49"/>
      <c r="E1998" s="49"/>
    </row>
    <row r="1999" spans="1:5">
      <c r="A1999" s="49"/>
      <c r="B1999" s="49"/>
      <c r="C1999" s="49"/>
      <c r="D1999" s="49"/>
      <c r="E1999" s="49"/>
    </row>
    <row r="2000" spans="1:5">
      <c r="A2000" s="49"/>
      <c r="B2000" s="49"/>
      <c r="C2000" s="49"/>
      <c r="D2000" s="49"/>
      <c r="E2000" s="49"/>
    </row>
    <row r="2001" spans="1:5">
      <c r="A2001" s="49"/>
      <c r="B2001" s="49"/>
      <c r="C2001" s="49"/>
      <c r="D2001" s="49"/>
      <c r="E2001" s="49"/>
    </row>
    <row r="2002" spans="1:5">
      <c r="A2002" s="49"/>
      <c r="B2002" s="49"/>
      <c r="C2002" s="49"/>
      <c r="D2002" s="49"/>
      <c r="E2002" s="49"/>
    </row>
    <row r="2003" spans="1:5">
      <c r="A2003" s="49"/>
      <c r="B2003" s="49"/>
      <c r="C2003" s="49"/>
      <c r="D2003" s="49"/>
      <c r="E2003" s="49"/>
    </row>
    <row r="2004" spans="1:5">
      <c r="A2004" s="49"/>
      <c r="B2004" s="49"/>
      <c r="C2004" s="49"/>
      <c r="D2004" s="49"/>
      <c r="E2004" s="49"/>
    </row>
    <row r="2005" spans="1:5">
      <c r="A2005" s="49"/>
      <c r="B2005" s="49"/>
      <c r="C2005" s="49"/>
      <c r="D2005" s="49"/>
      <c r="E2005" s="49"/>
    </row>
    <row r="2006" spans="1:5">
      <c r="A2006" s="49"/>
      <c r="B2006" s="49"/>
      <c r="C2006" s="49"/>
      <c r="D2006" s="49"/>
      <c r="E2006" s="49"/>
    </row>
    <row r="2007" spans="1:5">
      <c r="A2007" s="49"/>
      <c r="B2007" s="49"/>
      <c r="C2007" s="49"/>
      <c r="D2007" s="49"/>
      <c r="E2007" s="49"/>
    </row>
    <row r="2008" spans="1:5">
      <c r="A2008" s="49"/>
      <c r="B2008" s="49"/>
      <c r="C2008" s="49"/>
      <c r="D2008" s="49"/>
      <c r="E2008" s="49"/>
    </row>
    <row r="2009" spans="1:5">
      <c r="A2009" s="49"/>
      <c r="B2009" s="49"/>
      <c r="C2009" s="49"/>
      <c r="D2009" s="49"/>
      <c r="E2009" s="49"/>
    </row>
    <row r="2010" spans="1:5">
      <c r="A2010" s="49"/>
      <c r="B2010" s="49"/>
      <c r="C2010" s="49"/>
      <c r="D2010" s="49"/>
      <c r="E2010" s="49"/>
    </row>
    <row r="2011" spans="1:5">
      <c r="A2011" s="49"/>
      <c r="B2011" s="49"/>
      <c r="C2011" s="49"/>
      <c r="D2011" s="49"/>
      <c r="E2011" s="49"/>
    </row>
    <row r="2012" spans="1:5">
      <c r="A2012" s="49"/>
      <c r="B2012" s="49"/>
      <c r="C2012" s="49"/>
      <c r="D2012" s="49"/>
      <c r="E2012" s="49"/>
    </row>
    <row r="2013" spans="1:5">
      <c r="A2013" s="49"/>
      <c r="B2013" s="49"/>
      <c r="C2013" s="49"/>
      <c r="D2013" s="49"/>
      <c r="E2013" s="49"/>
    </row>
    <row r="2014" spans="1:5">
      <c r="A2014" s="49"/>
      <c r="B2014" s="49"/>
      <c r="C2014" s="49"/>
      <c r="D2014" s="49"/>
      <c r="E2014" s="49"/>
    </row>
    <row r="2015" spans="1:5">
      <c r="A2015" s="49"/>
      <c r="B2015" s="49"/>
      <c r="C2015" s="49"/>
      <c r="D2015" s="49"/>
      <c r="E2015" s="49"/>
    </row>
    <row r="2016" spans="1:5">
      <c r="A2016" s="49"/>
      <c r="B2016" s="49"/>
      <c r="C2016" s="49"/>
      <c r="D2016" s="49"/>
      <c r="E2016" s="49"/>
    </row>
    <row r="2017" spans="1:5">
      <c r="A2017" s="49"/>
      <c r="B2017" s="49"/>
      <c r="C2017" s="49"/>
      <c r="D2017" s="49"/>
      <c r="E2017" s="49"/>
    </row>
    <row r="2018" spans="1:5">
      <c r="A2018" s="49"/>
      <c r="B2018" s="49"/>
      <c r="C2018" s="49"/>
      <c r="D2018" s="49"/>
      <c r="E2018" s="49"/>
    </row>
    <row r="2019" spans="1:5">
      <c r="A2019" s="49"/>
      <c r="B2019" s="49"/>
      <c r="C2019" s="49"/>
      <c r="D2019" s="49"/>
      <c r="E2019" s="49"/>
    </row>
    <row r="2020" spans="1:5">
      <c r="A2020" s="49"/>
      <c r="B2020" s="49"/>
      <c r="C2020" s="49"/>
      <c r="D2020" s="49"/>
      <c r="E2020" s="49"/>
    </row>
    <row r="2021" spans="1:5">
      <c r="A2021" s="49"/>
      <c r="B2021" s="49"/>
      <c r="C2021" s="49"/>
      <c r="D2021" s="49"/>
      <c r="E2021" s="49"/>
    </row>
    <row r="2022" spans="1:5">
      <c r="A2022" s="49"/>
      <c r="B2022" s="49"/>
      <c r="C2022" s="49"/>
      <c r="D2022" s="49"/>
      <c r="E2022" s="49"/>
    </row>
    <row r="2023" spans="1:5">
      <c r="A2023" s="49"/>
      <c r="B2023" s="49"/>
      <c r="C2023" s="49"/>
      <c r="D2023" s="49"/>
      <c r="E2023" s="49"/>
    </row>
    <row r="2024" spans="1:5">
      <c r="A2024" s="49"/>
      <c r="B2024" s="49"/>
      <c r="C2024" s="49"/>
      <c r="D2024" s="49"/>
      <c r="E2024" s="49"/>
    </row>
    <row r="2025" spans="1:5">
      <c r="A2025" s="49"/>
      <c r="B2025" s="49"/>
      <c r="C2025" s="49"/>
      <c r="D2025" s="49"/>
      <c r="E2025" s="49"/>
    </row>
    <row r="2026" spans="1:5">
      <c r="A2026" s="49"/>
      <c r="B2026" s="49"/>
      <c r="C2026" s="49"/>
      <c r="D2026" s="49"/>
      <c r="E2026" s="49"/>
    </row>
    <row r="2027" spans="1:5">
      <c r="A2027" s="49"/>
      <c r="B2027" s="49"/>
      <c r="C2027" s="49"/>
      <c r="D2027" s="49"/>
      <c r="E2027" s="49"/>
    </row>
    <row r="2028" spans="1:5">
      <c r="A2028" s="49"/>
      <c r="B2028" s="49"/>
      <c r="C2028" s="49"/>
      <c r="D2028" s="49"/>
      <c r="E2028" s="49"/>
    </row>
    <row r="2029" spans="1:5">
      <c r="A2029" s="49"/>
      <c r="B2029" s="49"/>
      <c r="C2029" s="49"/>
      <c r="D2029" s="49"/>
      <c r="E2029" s="49"/>
    </row>
    <row r="2030" spans="1:5">
      <c r="A2030" s="49"/>
      <c r="B2030" s="49"/>
      <c r="C2030" s="49"/>
      <c r="D2030" s="49"/>
      <c r="E2030" s="49"/>
    </row>
    <row r="2031" spans="1:5">
      <c r="A2031" s="49"/>
      <c r="B2031" s="49"/>
      <c r="C2031" s="49"/>
      <c r="D2031" s="49"/>
      <c r="E2031" s="49"/>
    </row>
    <row r="2032" spans="1:5">
      <c r="A2032" s="49"/>
      <c r="B2032" s="49"/>
      <c r="C2032" s="49"/>
      <c r="D2032" s="49"/>
      <c r="E2032" s="49"/>
    </row>
    <row r="2033" spans="1:5">
      <c r="A2033" s="49"/>
      <c r="B2033" s="49"/>
      <c r="C2033" s="49"/>
      <c r="D2033" s="49"/>
      <c r="E2033" s="49"/>
    </row>
    <row r="2034" spans="1:5">
      <c r="A2034" s="49"/>
      <c r="B2034" s="49"/>
      <c r="C2034" s="49"/>
      <c r="D2034" s="49"/>
      <c r="E2034" s="49"/>
    </row>
    <row r="2035" spans="1:5">
      <c r="A2035" s="49"/>
      <c r="B2035" s="49"/>
      <c r="C2035" s="49"/>
      <c r="D2035" s="49"/>
      <c r="E2035" s="49"/>
    </row>
    <row r="2036" spans="1:5">
      <c r="A2036" s="49"/>
      <c r="B2036" s="49"/>
      <c r="C2036" s="49"/>
      <c r="D2036" s="49"/>
      <c r="E2036" s="49"/>
    </row>
    <row r="2037" spans="1:5">
      <c r="A2037" s="49"/>
      <c r="B2037" s="49"/>
      <c r="C2037" s="49"/>
      <c r="D2037" s="49"/>
      <c r="E2037" s="49"/>
    </row>
    <row r="2038" spans="1:5">
      <c r="A2038" s="49"/>
      <c r="B2038" s="49"/>
      <c r="C2038" s="49"/>
      <c r="D2038" s="49"/>
      <c r="E2038" s="49"/>
    </row>
    <row r="2039" spans="1:5">
      <c r="A2039" s="49"/>
      <c r="B2039" s="49"/>
      <c r="C2039" s="49"/>
      <c r="D2039" s="49"/>
      <c r="E2039" s="49"/>
    </row>
    <row r="2040" spans="1:5">
      <c r="A2040" s="49"/>
      <c r="B2040" s="49"/>
      <c r="C2040" s="49"/>
      <c r="D2040" s="49"/>
      <c r="E2040" s="49"/>
    </row>
    <row r="2041" spans="1:5">
      <c r="A2041" s="49"/>
      <c r="B2041" s="49"/>
      <c r="C2041" s="49"/>
      <c r="D2041" s="49"/>
      <c r="E2041" s="49"/>
    </row>
    <row r="2042" spans="1:5">
      <c r="A2042" s="49"/>
      <c r="B2042" s="49"/>
      <c r="C2042" s="49"/>
      <c r="D2042" s="49"/>
      <c r="E2042" s="49"/>
    </row>
    <row r="2043" spans="1:5">
      <c r="A2043" s="49"/>
      <c r="B2043" s="49"/>
      <c r="C2043" s="49"/>
      <c r="D2043" s="49"/>
      <c r="E2043" s="49"/>
    </row>
    <row r="2044" spans="1:5">
      <c r="A2044" s="49"/>
      <c r="B2044" s="49"/>
      <c r="C2044" s="49"/>
      <c r="D2044" s="49"/>
      <c r="E2044" s="49"/>
    </row>
    <row r="2045" spans="1:5">
      <c r="A2045" s="49"/>
      <c r="B2045" s="49"/>
      <c r="C2045" s="49"/>
      <c r="D2045" s="49"/>
      <c r="E2045" s="49"/>
    </row>
    <row r="2046" spans="1:5">
      <c r="A2046" s="49"/>
      <c r="B2046" s="49"/>
      <c r="C2046" s="49"/>
      <c r="D2046" s="49"/>
      <c r="E2046" s="49"/>
    </row>
    <row r="2047" spans="1:5">
      <c r="A2047" s="49"/>
      <c r="B2047" s="49"/>
      <c r="C2047" s="49"/>
      <c r="D2047" s="49"/>
      <c r="E2047" s="49"/>
    </row>
    <row r="2048" spans="1:5">
      <c r="A2048" s="49"/>
      <c r="B2048" s="49"/>
      <c r="C2048" s="49"/>
      <c r="D2048" s="49"/>
      <c r="E2048" s="49"/>
    </row>
    <row r="2049" spans="1:5">
      <c r="A2049" s="49"/>
      <c r="B2049" s="49"/>
      <c r="C2049" s="49"/>
      <c r="D2049" s="49"/>
      <c r="E2049" s="49"/>
    </row>
    <row r="2050" spans="1:5">
      <c r="A2050" s="49"/>
      <c r="B2050" s="49"/>
      <c r="C2050" s="49"/>
      <c r="D2050" s="49"/>
      <c r="E2050" s="49"/>
    </row>
    <row r="2051" spans="1:5">
      <c r="A2051" s="49"/>
      <c r="B2051" s="49"/>
      <c r="C2051" s="49"/>
      <c r="D2051" s="49"/>
      <c r="E2051" s="49"/>
    </row>
    <row r="2052" spans="1:5">
      <c r="A2052" s="49"/>
      <c r="B2052" s="49"/>
      <c r="C2052" s="49"/>
      <c r="D2052" s="49"/>
      <c r="E2052" s="49"/>
    </row>
    <row r="2053" spans="1:5">
      <c r="A2053" s="49"/>
      <c r="B2053" s="49"/>
      <c r="C2053" s="49"/>
      <c r="D2053" s="49"/>
      <c r="E2053" s="49"/>
    </row>
    <row r="2054" spans="1:5">
      <c r="A2054" s="49"/>
      <c r="B2054" s="49"/>
      <c r="C2054" s="49"/>
      <c r="D2054" s="49"/>
      <c r="E2054" s="49"/>
    </row>
    <row r="2055" spans="1:5">
      <c r="A2055" s="49"/>
      <c r="B2055" s="49"/>
      <c r="C2055" s="49"/>
      <c r="D2055" s="49"/>
      <c r="E2055" s="49"/>
    </row>
    <row r="2056" spans="1:5">
      <c r="A2056" s="49"/>
      <c r="B2056" s="49"/>
      <c r="C2056" s="49"/>
      <c r="D2056" s="49"/>
      <c r="E2056" s="49"/>
    </row>
    <row r="2057" spans="1:5">
      <c r="A2057" s="49"/>
      <c r="B2057" s="49"/>
      <c r="C2057" s="49"/>
      <c r="D2057" s="49"/>
      <c r="E2057" s="49"/>
    </row>
    <row r="2058" spans="1:5">
      <c r="A2058" s="49"/>
      <c r="B2058" s="49"/>
      <c r="C2058" s="49"/>
      <c r="D2058" s="49"/>
      <c r="E2058" s="49"/>
    </row>
    <row r="2059" spans="1:5">
      <c r="A2059" s="49"/>
      <c r="B2059" s="49"/>
      <c r="C2059" s="49"/>
      <c r="D2059" s="49"/>
      <c r="E2059" s="49"/>
    </row>
    <row r="2060" spans="1:5">
      <c r="A2060" s="49"/>
      <c r="B2060" s="49"/>
      <c r="C2060" s="49"/>
      <c r="D2060" s="49"/>
      <c r="E2060" s="49"/>
    </row>
    <row r="2061" spans="1:5">
      <c r="A2061" s="49"/>
      <c r="B2061" s="49"/>
      <c r="C2061" s="49"/>
      <c r="D2061" s="49"/>
      <c r="E2061" s="49"/>
    </row>
    <row r="2062" spans="1:5">
      <c r="A2062" s="49"/>
      <c r="B2062" s="49"/>
      <c r="C2062" s="49"/>
      <c r="D2062" s="49"/>
      <c r="E2062" s="49"/>
    </row>
    <row r="2063" spans="1:5">
      <c r="A2063" s="49"/>
      <c r="B2063" s="49"/>
      <c r="C2063" s="49"/>
      <c r="D2063" s="49"/>
      <c r="E2063" s="49"/>
    </row>
    <row r="2064" spans="1:5">
      <c r="A2064" s="49"/>
      <c r="B2064" s="49"/>
      <c r="C2064" s="49"/>
      <c r="D2064" s="49"/>
      <c r="E2064" s="49"/>
    </row>
    <row r="2065" spans="1:5">
      <c r="A2065" s="49"/>
      <c r="B2065" s="49"/>
      <c r="C2065" s="49"/>
      <c r="D2065" s="49"/>
      <c r="E2065" s="49"/>
    </row>
    <row r="2066" spans="1:5">
      <c r="A2066" s="49"/>
      <c r="B2066" s="49"/>
      <c r="C2066" s="49"/>
      <c r="D2066" s="49"/>
      <c r="E2066" s="49"/>
    </row>
    <row r="2067" spans="1:5">
      <c r="A2067" s="49"/>
      <c r="B2067" s="49"/>
      <c r="C2067" s="49"/>
      <c r="D2067" s="49"/>
      <c r="E2067" s="49"/>
    </row>
    <row r="2068" spans="1:5">
      <c r="A2068" s="49"/>
      <c r="B2068" s="49"/>
      <c r="C2068" s="49"/>
      <c r="D2068" s="49"/>
      <c r="E2068" s="49"/>
    </row>
    <row r="2069" spans="1:5">
      <c r="A2069" s="49"/>
      <c r="B2069" s="49"/>
      <c r="C2069" s="49"/>
      <c r="D2069" s="49"/>
      <c r="E2069" s="49"/>
    </row>
    <row r="2070" spans="1:5">
      <c r="A2070" s="49"/>
      <c r="B2070" s="49"/>
      <c r="C2070" s="49"/>
      <c r="D2070" s="49"/>
      <c r="E2070" s="49"/>
    </row>
    <row r="2071" spans="1:5">
      <c r="A2071" s="49"/>
      <c r="B2071" s="49"/>
      <c r="C2071" s="49"/>
      <c r="D2071" s="49"/>
      <c r="E2071" s="49"/>
    </row>
    <row r="2072" spans="1:5">
      <c r="A2072" s="49"/>
      <c r="B2072" s="49"/>
      <c r="C2072" s="49"/>
      <c r="D2072" s="49"/>
      <c r="E2072" s="49"/>
    </row>
    <row r="2073" spans="1:5">
      <c r="A2073" s="49"/>
      <c r="B2073" s="49"/>
      <c r="C2073" s="49"/>
      <c r="D2073" s="49"/>
      <c r="E2073" s="49"/>
    </row>
    <row r="2074" spans="1:5">
      <c r="A2074" s="49"/>
      <c r="B2074" s="49"/>
      <c r="C2074" s="49"/>
      <c r="D2074" s="49"/>
      <c r="E2074" s="49"/>
    </row>
    <row r="2075" spans="1:5">
      <c r="A2075" s="49"/>
      <c r="B2075" s="49"/>
      <c r="C2075" s="49"/>
      <c r="D2075" s="49"/>
      <c r="E2075" s="49"/>
    </row>
    <row r="2076" spans="1:5">
      <c r="A2076" s="49"/>
      <c r="B2076" s="49"/>
      <c r="C2076" s="49"/>
      <c r="D2076" s="49"/>
      <c r="E2076" s="49"/>
    </row>
    <row r="2077" spans="1:5">
      <c r="A2077" s="49"/>
      <c r="B2077" s="49"/>
      <c r="C2077" s="49"/>
      <c r="D2077" s="49"/>
      <c r="E2077" s="49"/>
    </row>
    <row r="2078" spans="1:5">
      <c r="A2078" s="49"/>
      <c r="B2078" s="49"/>
      <c r="C2078" s="49"/>
      <c r="D2078" s="49"/>
      <c r="E2078" s="49"/>
    </row>
    <row r="2079" spans="1:5">
      <c r="A2079" s="49"/>
      <c r="B2079" s="49"/>
      <c r="C2079" s="49"/>
      <c r="D2079" s="49"/>
      <c r="E2079" s="49"/>
    </row>
    <row r="2080" spans="1:5">
      <c r="A2080" s="49"/>
      <c r="B2080" s="49"/>
      <c r="C2080" s="49"/>
      <c r="D2080" s="49"/>
      <c r="E2080" s="49"/>
    </row>
    <row r="2081" spans="1:5">
      <c r="A2081" s="49"/>
      <c r="B2081" s="49"/>
      <c r="C2081" s="49"/>
      <c r="D2081" s="49"/>
      <c r="E2081" s="49"/>
    </row>
    <row r="2082" spans="1:5">
      <c r="A2082" s="49"/>
      <c r="B2082" s="49"/>
      <c r="C2082" s="49"/>
      <c r="D2082" s="49"/>
      <c r="E2082" s="49"/>
    </row>
    <row r="2083" spans="1:5">
      <c r="A2083" s="49"/>
      <c r="B2083" s="49"/>
      <c r="C2083" s="49"/>
      <c r="D2083" s="49"/>
      <c r="E2083" s="49"/>
    </row>
    <row r="2084" spans="1:5">
      <c r="A2084" s="49"/>
      <c r="B2084" s="49"/>
      <c r="C2084" s="49"/>
      <c r="D2084" s="49"/>
      <c r="E2084" s="49"/>
    </row>
    <row r="2085" spans="1:5">
      <c r="A2085" s="49"/>
      <c r="B2085" s="49"/>
      <c r="C2085" s="49"/>
      <c r="D2085" s="49"/>
      <c r="E2085" s="49"/>
    </row>
    <row r="2086" spans="1:5">
      <c r="A2086" s="49"/>
      <c r="B2086" s="49"/>
      <c r="C2086" s="49"/>
      <c r="D2086" s="49"/>
      <c r="E2086" s="49"/>
    </row>
    <row r="2087" spans="1:5">
      <c r="A2087" s="49"/>
      <c r="B2087" s="49"/>
      <c r="C2087" s="49"/>
      <c r="D2087" s="49"/>
      <c r="E2087" s="49"/>
    </row>
    <row r="2088" spans="1:5">
      <c r="A2088" s="49"/>
      <c r="B2088" s="49"/>
      <c r="C2088" s="49"/>
      <c r="D2088" s="49"/>
      <c r="E2088" s="49"/>
    </row>
    <row r="2089" spans="1:5">
      <c r="A2089" s="49"/>
      <c r="B2089" s="49"/>
      <c r="C2089" s="49"/>
      <c r="D2089" s="49"/>
      <c r="E2089" s="49"/>
    </row>
    <row r="2090" spans="1:5">
      <c r="A2090" s="49"/>
      <c r="B2090" s="49"/>
      <c r="C2090" s="49"/>
      <c r="D2090" s="49"/>
      <c r="E2090" s="49"/>
    </row>
    <row r="2091" spans="1:5">
      <c r="A2091" s="49"/>
      <c r="B2091" s="49"/>
      <c r="C2091" s="49"/>
      <c r="D2091" s="49"/>
      <c r="E2091" s="49"/>
    </row>
    <row r="2092" spans="1:5">
      <c r="A2092" s="49"/>
      <c r="B2092" s="49"/>
      <c r="C2092" s="49"/>
      <c r="D2092" s="49"/>
      <c r="E2092" s="49"/>
    </row>
    <row r="2093" spans="1:5">
      <c r="A2093" s="49"/>
      <c r="B2093" s="49"/>
      <c r="C2093" s="49"/>
      <c r="D2093" s="49"/>
      <c r="E2093" s="49"/>
    </row>
    <row r="2094" spans="1:5">
      <c r="A2094" s="49"/>
      <c r="B2094" s="49"/>
      <c r="C2094" s="49"/>
      <c r="D2094" s="49"/>
      <c r="E2094" s="49"/>
    </row>
    <row r="2095" spans="1:5">
      <c r="A2095" s="49"/>
      <c r="B2095" s="49"/>
      <c r="C2095" s="49"/>
      <c r="D2095" s="49"/>
      <c r="E2095" s="49"/>
    </row>
    <row r="2096" spans="1:5">
      <c r="A2096" s="49"/>
      <c r="B2096" s="49"/>
      <c r="C2096" s="49"/>
      <c r="D2096" s="49"/>
      <c r="E2096" s="49"/>
    </row>
    <row r="2097" spans="1:5">
      <c r="A2097" s="49"/>
      <c r="B2097" s="49"/>
      <c r="C2097" s="49"/>
      <c r="D2097" s="49"/>
      <c r="E2097" s="49"/>
    </row>
    <row r="2098" spans="1:5">
      <c r="A2098" s="49"/>
      <c r="B2098" s="49"/>
      <c r="C2098" s="49"/>
      <c r="D2098" s="49"/>
      <c r="E2098" s="49"/>
    </row>
    <row r="2099" spans="1:5">
      <c r="A2099" s="49"/>
      <c r="B2099" s="49"/>
      <c r="C2099" s="49"/>
      <c r="D2099" s="49"/>
      <c r="E2099" s="49"/>
    </row>
    <row r="2100" spans="1:5">
      <c r="A2100" s="49"/>
      <c r="B2100" s="49"/>
      <c r="C2100" s="49"/>
      <c r="D2100" s="49"/>
      <c r="E2100" s="49"/>
    </row>
    <row r="2101" spans="1:5">
      <c r="A2101" s="49"/>
      <c r="B2101" s="49"/>
      <c r="C2101" s="49"/>
      <c r="D2101" s="49"/>
      <c r="E2101" s="49"/>
    </row>
    <row r="2102" spans="1:5">
      <c r="A2102" s="49"/>
      <c r="B2102" s="49"/>
      <c r="C2102" s="49"/>
      <c r="D2102" s="49"/>
      <c r="E2102" s="49"/>
    </row>
    <row r="2103" spans="1:5">
      <c r="A2103" s="49"/>
      <c r="B2103" s="49"/>
      <c r="C2103" s="49"/>
      <c r="D2103" s="49"/>
      <c r="E2103" s="49"/>
    </row>
    <row r="2104" spans="1:5">
      <c r="A2104" s="49"/>
      <c r="B2104" s="49"/>
      <c r="C2104" s="49"/>
      <c r="D2104" s="49"/>
      <c r="E2104" s="49"/>
    </row>
    <row r="2105" spans="1:5">
      <c r="A2105" s="49"/>
      <c r="B2105" s="49"/>
      <c r="C2105" s="49"/>
      <c r="D2105" s="49"/>
      <c r="E2105" s="49"/>
    </row>
    <row r="2106" spans="1:5">
      <c r="A2106" s="49"/>
      <c r="B2106" s="49"/>
      <c r="C2106" s="49"/>
      <c r="D2106" s="49"/>
      <c r="E2106" s="49"/>
    </row>
    <row r="2107" spans="1:5">
      <c r="A2107" s="49"/>
      <c r="B2107" s="49"/>
      <c r="C2107" s="49"/>
      <c r="D2107" s="49"/>
      <c r="E2107" s="49"/>
    </row>
    <row r="2108" spans="1:5">
      <c r="A2108" s="49"/>
      <c r="B2108" s="49"/>
      <c r="C2108" s="49"/>
      <c r="D2108" s="49"/>
      <c r="E2108" s="49"/>
    </row>
    <row r="2109" spans="1:5">
      <c r="A2109" s="49"/>
      <c r="B2109" s="49"/>
      <c r="C2109" s="49"/>
      <c r="D2109" s="49"/>
      <c r="E2109" s="49"/>
    </row>
    <row r="2110" spans="1:5">
      <c r="A2110" s="49"/>
      <c r="B2110" s="49"/>
      <c r="C2110" s="49"/>
      <c r="D2110" s="49"/>
      <c r="E2110" s="49"/>
    </row>
    <row r="2111" spans="1:5">
      <c r="A2111" s="49"/>
      <c r="B2111" s="49"/>
      <c r="C2111" s="49"/>
      <c r="D2111" s="49"/>
      <c r="E2111" s="49"/>
    </row>
    <row r="2112" spans="1:5">
      <c r="A2112" s="49"/>
      <c r="B2112" s="49"/>
      <c r="C2112" s="49"/>
      <c r="D2112" s="49"/>
      <c r="E2112" s="49"/>
    </row>
    <row r="2113" spans="1:5">
      <c r="A2113" s="49"/>
      <c r="B2113" s="49"/>
      <c r="C2113" s="49"/>
      <c r="D2113" s="49"/>
      <c r="E2113" s="49"/>
    </row>
    <row r="2114" spans="1:5">
      <c r="A2114" s="49"/>
      <c r="B2114" s="49"/>
      <c r="C2114" s="49"/>
      <c r="D2114" s="49"/>
      <c r="E2114" s="49"/>
    </row>
    <row r="2115" spans="1:5">
      <c r="A2115" s="49"/>
      <c r="B2115" s="49"/>
      <c r="C2115" s="49"/>
      <c r="D2115" s="49"/>
      <c r="E2115" s="49"/>
    </row>
    <row r="2116" spans="1:5">
      <c r="A2116" s="49"/>
      <c r="B2116" s="49"/>
      <c r="C2116" s="49"/>
      <c r="D2116" s="49"/>
      <c r="E2116" s="49"/>
    </row>
    <row r="2117" spans="1:5">
      <c r="A2117" s="49"/>
      <c r="B2117" s="49"/>
      <c r="C2117" s="49"/>
      <c r="D2117" s="49"/>
      <c r="E2117" s="49"/>
    </row>
    <row r="2118" spans="1:5">
      <c r="A2118" s="49"/>
      <c r="B2118" s="49"/>
      <c r="C2118" s="49"/>
      <c r="D2118" s="49"/>
      <c r="E2118" s="49"/>
    </row>
    <row r="2119" spans="1:5">
      <c r="A2119" s="49"/>
      <c r="B2119" s="49"/>
      <c r="C2119" s="49"/>
      <c r="D2119" s="49"/>
      <c r="E2119" s="49"/>
    </row>
    <row r="2120" spans="1:5">
      <c r="A2120" s="49"/>
      <c r="B2120" s="49"/>
      <c r="C2120" s="49"/>
      <c r="D2120" s="49"/>
      <c r="E2120" s="49"/>
    </row>
    <row r="2121" spans="1:5">
      <c r="A2121" s="49"/>
      <c r="B2121" s="49"/>
      <c r="C2121" s="49"/>
      <c r="D2121" s="49"/>
      <c r="E2121" s="49"/>
    </row>
    <row r="2122" spans="1:5">
      <c r="A2122" s="49"/>
      <c r="B2122" s="49"/>
      <c r="C2122" s="49"/>
      <c r="D2122" s="49"/>
      <c r="E2122" s="49"/>
    </row>
    <row r="2123" spans="1:5">
      <c r="A2123" s="49"/>
      <c r="B2123" s="49"/>
      <c r="C2123" s="49"/>
      <c r="D2123" s="49"/>
      <c r="E2123" s="49"/>
    </row>
    <row r="2124" spans="1:5">
      <c r="A2124" s="49"/>
      <c r="B2124" s="49"/>
      <c r="C2124" s="49"/>
      <c r="D2124" s="49"/>
      <c r="E2124" s="49"/>
    </row>
    <row r="2125" spans="1:5">
      <c r="A2125" s="49"/>
      <c r="B2125" s="49"/>
      <c r="C2125" s="49"/>
      <c r="D2125" s="49"/>
      <c r="E2125" s="49"/>
    </row>
    <row r="2126" spans="1:5">
      <c r="A2126" s="49"/>
      <c r="B2126" s="49"/>
      <c r="C2126" s="49"/>
      <c r="D2126" s="49"/>
      <c r="E2126" s="49"/>
    </row>
    <row r="2127" spans="1:5">
      <c r="A2127" s="49"/>
      <c r="B2127" s="49"/>
      <c r="C2127" s="49"/>
      <c r="D2127" s="49"/>
      <c r="E2127" s="49"/>
    </row>
    <row r="2128" spans="1:5">
      <c r="A2128" s="49"/>
      <c r="B2128" s="49"/>
      <c r="C2128" s="49"/>
      <c r="D2128" s="49"/>
      <c r="E2128" s="49"/>
    </row>
    <row r="2129" spans="1:5">
      <c r="A2129" s="49"/>
      <c r="B2129" s="49"/>
      <c r="C2129" s="49"/>
      <c r="D2129" s="49"/>
      <c r="E2129" s="49"/>
    </row>
    <row r="2130" spans="1:5">
      <c r="A2130" s="49"/>
      <c r="B2130" s="49"/>
      <c r="C2130" s="49"/>
      <c r="D2130" s="49"/>
      <c r="E2130" s="49"/>
    </row>
    <row r="2131" spans="1:5">
      <c r="A2131" s="49"/>
      <c r="B2131" s="49"/>
      <c r="C2131" s="49"/>
      <c r="D2131" s="49"/>
      <c r="E2131" s="49"/>
    </row>
    <row r="2132" spans="1:5">
      <c r="A2132" s="49"/>
      <c r="B2132" s="49"/>
      <c r="C2132" s="49"/>
      <c r="D2132" s="49"/>
      <c r="E2132" s="49"/>
    </row>
    <row r="2133" spans="1:5">
      <c r="A2133" s="49"/>
      <c r="B2133" s="49"/>
      <c r="C2133" s="49"/>
      <c r="D2133" s="49"/>
      <c r="E2133" s="49"/>
    </row>
    <row r="2134" spans="1:5">
      <c r="A2134" s="49"/>
      <c r="B2134" s="49"/>
      <c r="C2134" s="49"/>
      <c r="D2134" s="49"/>
      <c r="E2134" s="49"/>
    </row>
    <row r="2135" spans="1:5">
      <c r="A2135" s="49"/>
      <c r="B2135" s="49"/>
      <c r="C2135" s="49"/>
      <c r="D2135" s="49"/>
      <c r="E2135" s="49"/>
    </row>
    <row r="2136" spans="1:5">
      <c r="A2136" s="49"/>
      <c r="B2136" s="49"/>
      <c r="C2136" s="49"/>
      <c r="D2136" s="49"/>
      <c r="E2136" s="49"/>
    </row>
    <row r="2137" spans="1:5">
      <c r="A2137" s="49"/>
      <c r="B2137" s="49"/>
      <c r="C2137" s="49"/>
      <c r="D2137" s="49"/>
      <c r="E2137" s="49"/>
    </row>
    <row r="2138" spans="1:5">
      <c r="A2138" s="49"/>
      <c r="B2138" s="49"/>
      <c r="C2138" s="49"/>
      <c r="D2138" s="49"/>
      <c r="E2138" s="49"/>
    </row>
    <row r="2139" spans="1:5">
      <c r="A2139" s="49"/>
      <c r="B2139" s="49"/>
      <c r="C2139" s="49"/>
      <c r="D2139" s="49"/>
      <c r="E2139" s="49"/>
    </row>
    <row r="2140" spans="1:5">
      <c r="A2140" s="49"/>
      <c r="B2140" s="49"/>
      <c r="C2140" s="49"/>
      <c r="D2140" s="49"/>
      <c r="E2140" s="49"/>
    </row>
    <row r="2141" spans="1:5">
      <c r="A2141" s="49"/>
      <c r="B2141" s="49"/>
      <c r="C2141" s="49"/>
      <c r="D2141" s="49"/>
      <c r="E2141" s="49"/>
    </row>
    <row r="2142" spans="1:5">
      <c r="A2142" s="49"/>
      <c r="B2142" s="49"/>
      <c r="C2142" s="49"/>
      <c r="D2142" s="49"/>
      <c r="E2142" s="49"/>
    </row>
    <row r="2143" spans="1:5">
      <c r="A2143" s="49"/>
      <c r="B2143" s="49"/>
      <c r="C2143" s="49"/>
      <c r="D2143" s="49"/>
      <c r="E2143" s="49"/>
    </row>
    <row r="2144" spans="1:5">
      <c r="A2144" s="49"/>
      <c r="B2144" s="49"/>
      <c r="C2144" s="49"/>
      <c r="D2144" s="49"/>
      <c r="E2144" s="49"/>
    </row>
    <row r="2145" spans="1:5">
      <c r="A2145" s="49"/>
      <c r="B2145" s="49"/>
      <c r="C2145" s="49"/>
      <c r="D2145" s="49"/>
      <c r="E2145" s="49"/>
    </row>
    <row r="2146" spans="1:5">
      <c r="A2146" s="49"/>
      <c r="B2146" s="49"/>
      <c r="C2146" s="49"/>
      <c r="D2146" s="49"/>
      <c r="E2146" s="49"/>
    </row>
    <row r="2147" spans="1:5">
      <c r="A2147" s="49"/>
      <c r="B2147" s="49"/>
      <c r="C2147" s="49"/>
      <c r="D2147" s="49"/>
      <c r="E2147" s="49"/>
    </row>
    <row r="2148" spans="1:5">
      <c r="A2148" s="49"/>
      <c r="B2148" s="49"/>
      <c r="C2148" s="49"/>
      <c r="D2148" s="49"/>
      <c r="E2148" s="49"/>
    </row>
    <row r="2149" spans="1:5">
      <c r="A2149" s="49"/>
      <c r="B2149" s="49"/>
      <c r="C2149" s="49"/>
      <c r="D2149" s="49"/>
      <c r="E2149" s="49"/>
    </row>
    <row r="2150" spans="1:5">
      <c r="A2150" s="49"/>
      <c r="B2150" s="49"/>
      <c r="C2150" s="49"/>
      <c r="D2150" s="49"/>
      <c r="E2150" s="49"/>
    </row>
    <row r="2151" spans="1:5">
      <c r="A2151" s="49"/>
      <c r="B2151" s="49"/>
      <c r="C2151" s="49"/>
      <c r="D2151" s="49"/>
      <c r="E2151" s="49"/>
    </row>
    <row r="2152" spans="1:5">
      <c r="A2152" s="49"/>
      <c r="B2152" s="49"/>
      <c r="C2152" s="49"/>
      <c r="D2152" s="49"/>
      <c r="E2152" s="49"/>
    </row>
    <row r="2153" spans="1:5">
      <c r="A2153" s="49"/>
      <c r="B2153" s="49"/>
      <c r="C2153" s="49"/>
      <c r="D2153" s="49"/>
      <c r="E2153" s="49"/>
    </row>
    <row r="2154" spans="1:5">
      <c r="A2154" s="49"/>
      <c r="B2154" s="49"/>
      <c r="C2154" s="49"/>
      <c r="D2154" s="49"/>
      <c r="E2154" s="49"/>
    </row>
    <row r="2155" spans="1:5">
      <c r="A2155" s="49"/>
      <c r="B2155" s="49"/>
      <c r="C2155" s="49"/>
      <c r="D2155" s="49"/>
      <c r="E2155" s="49"/>
    </row>
    <row r="2156" spans="1:5">
      <c r="A2156" s="49"/>
      <c r="B2156" s="49"/>
      <c r="C2156" s="49"/>
      <c r="D2156" s="49"/>
      <c r="E2156" s="49"/>
    </row>
    <row r="2157" spans="1:5">
      <c r="A2157" s="49"/>
      <c r="B2157" s="49"/>
      <c r="C2157" s="49"/>
      <c r="D2157" s="49"/>
      <c r="E2157" s="49"/>
    </row>
    <row r="2158" spans="1:5">
      <c r="A2158" s="49"/>
      <c r="B2158" s="49"/>
      <c r="C2158" s="49"/>
      <c r="D2158" s="49"/>
      <c r="E2158" s="49"/>
    </row>
    <row r="2159" spans="1:5">
      <c r="A2159" s="49"/>
      <c r="B2159" s="49"/>
      <c r="C2159" s="49"/>
      <c r="D2159" s="49"/>
      <c r="E2159" s="49"/>
    </row>
    <row r="2160" spans="1:5">
      <c r="A2160" s="49"/>
      <c r="B2160" s="49"/>
      <c r="C2160" s="49"/>
      <c r="D2160" s="49"/>
      <c r="E2160" s="49"/>
    </row>
    <row r="2161" spans="1:5">
      <c r="A2161" s="49"/>
      <c r="B2161" s="49"/>
      <c r="C2161" s="49"/>
      <c r="D2161" s="49"/>
      <c r="E2161" s="49"/>
    </row>
    <row r="2162" spans="1:5">
      <c r="A2162" s="49"/>
      <c r="B2162" s="49"/>
      <c r="C2162" s="49"/>
      <c r="D2162" s="49"/>
      <c r="E2162" s="49"/>
    </row>
    <row r="2163" spans="1:5">
      <c r="A2163" s="49"/>
      <c r="B2163" s="49"/>
      <c r="C2163" s="49"/>
      <c r="D2163" s="49"/>
      <c r="E2163" s="49"/>
    </row>
    <row r="2164" spans="1:5">
      <c r="A2164" s="49"/>
      <c r="B2164" s="49"/>
      <c r="C2164" s="49"/>
      <c r="D2164" s="49"/>
      <c r="E2164" s="49"/>
    </row>
    <row r="2165" spans="1:5">
      <c r="A2165" s="49"/>
      <c r="B2165" s="49"/>
      <c r="C2165" s="49"/>
      <c r="D2165" s="49"/>
      <c r="E2165" s="49"/>
    </row>
    <row r="2166" spans="1:5">
      <c r="A2166" s="49"/>
      <c r="B2166" s="49"/>
      <c r="C2166" s="49"/>
      <c r="D2166" s="49"/>
      <c r="E2166" s="49"/>
    </row>
    <row r="2167" spans="1:5">
      <c r="A2167" s="49"/>
      <c r="B2167" s="49"/>
      <c r="C2167" s="49"/>
      <c r="D2167" s="49"/>
      <c r="E2167" s="49"/>
    </row>
    <row r="2168" spans="1:5">
      <c r="A2168" s="49"/>
      <c r="B2168" s="49"/>
      <c r="C2168" s="49"/>
      <c r="D2168" s="49"/>
      <c r="E2168" s="49"/>
    </row>
    <row r="2169" spans="1:5">
      <c r="A2169" s="49"/>
      <c r="B2169" s="49"/>
      <c r="C2169" s="49"/>
      <c r="D2169" s="49"/>
      <c r="E2169" s="49"/>
    </row>
    <row r="2170" spans="1:5">
      <c r="A2170" s="49"/>
      <c r="B2170" s="49"/>
      <c r="C2170" s="49"/>
      <c r="D2170" s="49"/>
      <c r="E2170" s="49"/>
    </row>
    <row r="2171" spans="1:5">
      <c r="A2171" s="49"/>
      <c r="B2171" s="49"/>
      <c r="C2171" s="49"/>
      <c r="D2171" s="49"/>
      <c r="E2171" s="49"/>
    </row>
    <row r="2172" spans="1:5">
      <c r="A2172" s="49"/>
      <c r="B2172" s="49"/>
      <c r="C2172" s="49"/>
      <c r="D2172" s="49"/>
      <c r="E2172" s="49"/>
    </row>
    <row r="2173" spans="1:5">
      <c r="A2173" s="49"/>
      <c r="B2173" s="49"/>
      <c r="C2173" s="49"/>
      <c r="D2173" s="49"/>
      <c r="E2173" s="49"/>
    </row>
    <row r="2174" spans="1:5">
      <c r="A2174" s="49"/>
      <c r="B2174" s="49"/>
      <c r="C2174" s="49"/>
      <c r="D2174" s="49"/>
      <c r="E2174" s="49"/>
    </row>
    <row r="2175" spans="1:5">
      <c r="A2175" s="49"/>
      <c r="B2175" s="49"/>
      <c r="C2175" s="49"/>
      <c r="D2175" s="49"/>
      <c r="E2175" s="49"/>
    </row>
    <row r="2176" spans="1:5">
      <c r="A2176" s="49"/>
      <c r="B2176" s="49"/>
      <c r="C2176" s="49"/>
      <c r="D2176" s="49"/>
      <c r="E2176" s="49"/>
    </row>
    <row r="2177" spans="1:5">
      <c r="A2177" s="49"/>
      <c r="B2177" s="49"/>
      <c r="C2177" s="49"/>
      <c r="D2177" s="49"/>
      <c r="E2177" s="49"/>
    </row>
    <row r="2178" spans="1:5">
      <c r="A2178" s="49"/>
      <c r="B2178" s="49"/>
      <c r="C2178" s="49"/>
      <c r="D2178" s="49"/>
      <c r="E2178" s="49"/>
    </row>
    <row r="2179" spans="1:5">
      <c r="A2179" s="49"/>
      <c r="B2179" s="49"/>
      <c r="C2179" s="49"/>
      <c r="D2179" s="49"/>
      <c r="E2179" s="49"/>
    </row>
    <row r="2180" spans="1:5">
      <c r="A2180" s="49"/>
      <c r="B2180" s="49"/>
      <c r="C2180" s="49"/>
      <c r="D2180" s="49"/>
      <c r="E2180" s="49"/>
    </row>
    <row r="2181" spans="1:5">
      <c r="A2181" s="49"/>
      <c r="B2181" s="49"/>
      <c r="C2181" s="49"/>
      <c r="D2181" s="49"/>
      <c r="E2181" s="49"/>
    </row>
    <row r="2182" spans="1:5">
      <c r="A2182" s="49"/>
      <c r="B2182" s="49"/>
      <c r="C2182" s="49"/>
      <c r="D2182" s="49"/>
      <c r="E2182" s="49"/>
    </row>
    <row r="2183" spans="1:5">
      <c r="A2183" s="49"/>
      <c r="B2183" s="49"/>
      <c r="C2183" s="49"/>
      <c r="D2183" s="49"/>
      <c r="E2183" s="49"/>
    </row>
    <row r="2184" spans="1:5">
      <c r="A2184" s="49"/>
      <c r="B2184" s="49"/>
      <c r="C2184" s="49"/>
      <c r="D2184" s="49"/>
      <c r="E2184" s="49"/>
    </row>
    <row r="2185" spans="1:5">
      <c r="A2185" s="49"/>
      <c r="B2185" s="49"/>
      <c r="C2185" s="49"/>
      <c r="D2185" s="49"/>
      <c r="E2185" s="49"/>
    </row>
    <row r="2186" spans="1:5">
      <c r="A2186" s="49"/>
      <c r="B2186" s="49"/>
      <c r="C2186" s="49"/>
      <c r="D2186" s="49"/>
      <c r="E2186" s="49"/>
    </row>
    <row r="2187" spans="1:5">
      <c r="A2187" s="49"/>
      <c r="B2187" s="49"/>
      <c r="C2187" s="49"/>
      <c r="D2187" s="49"/>
      <c r="E2187" s="49"/>
    </row>
    <row r="2188" spans="1:5">
      <c r="A2188" s="49"/>
      <c r="B2188" s="49"/>
      <c r="C2188" s="49"/>
      <c r="D2188" s="49"/>
      <c r="E2188" s="49"/>
    </row>
    <row r="2189" spans="1:5">
      <c r="A2189" s="49"/>
      <c r="B2189" s="49"/>
      <c r="C2189" s="49"/>
      <c r="D2189" s="49"/>
      <c r="E2189" s="49"/>
    </row>
    <row r="2190" spans="1:5">
      <c r="A2190" s="49"/>
      <c r="B2190" s="49"/>
      <c r="C2190" s="49"/>
      <c r="D2190" s="49"/>
      <c r="E2190" s="49"/>
    </row>
    <row r="2191" spans="1:5">
      <c r="A2191" s="49"/>
      <c r="B2191" s="49"/>
      <c r="C2191" s="49"/>
      <c r="D2191" s="49"/>
      <c r="E2191" s="49"/>
    </row>
    <row r="2192" spans="1:5">
      <c r="A2192" s="49"/>
      <c r="B2192" s="49"/>
      <c r="C2192" s="49"/>
      <c r="D2192" s="49"/>
      <c r="E2192" s="49"/>
    </row>
    <row r="2193" spans="1:5">
      <c r="A2193" s="49"/>
      <c r="B2193" s="49"/>
      <c r="C2193" s="49"/>
      <c r="D2193" s="49"/>
      <c r="E2193" s="49"/>
    </row>
    <row r="2194" spans="1:5">
      <c r="A2194" s="49"/>
      <c r="B2194" s="49"/>
      <c r="C2194" s="49"/>
      <c r="D2194" s="49"/>
      <c r="E2194" s="49"/>
    </row>
    <row r="2195" spans="1:5">
      <c r="A2195" s="49"/>
      <c r="B2195" s="49"/>
      <c r="C2195" s="49"/>
      <c r="D2195" s="49"/>
      <c r="E2195" s="49"/>
    </row>
    <row r="2196" spans="1:5">
      <c r="A2196" s="49"/>
      <c r="B2196" s="49"/>
      <c r="C2196" s="49"/>
      <c r="D2196" s="49"/>
      <c r="E2196" s="49"/>
    </row>
    <row r="2197" spans="1:5">
      <c r="A2197" s="49"/>
      <c r="B2197" s="49"/>
      <c r="C2197" s="49"/>
      <c r="D2197" s="49"/>
      <c r="E2197" s="49"/>
    </row>
    <row r="2198" spans="1:5">
      <c r="A2198" s="49"/>
      <c r="B2198" s="49"/>
      <c r="C2198" s="49"/>
      <c r="D2198" s="49"/>
      <c r="E2198" s="49"/>
    </row>
    <row r="2199" spans="1:5">
      <c r="A2199" s="49"/>
      <c r="B2199" s="49"/>
      <c r="C2199" s="49"/>
      <c r="D2199" s="49"/>
      <c r="E2199" s="49"/>
    </row>
    <row r="2200" spans="1:5">
      <c r="A2200" s="49"/>
      <c r="B2200" s="49"/>
      <c r="C2200" s="49"/>
      <c r="D2200" s="49"/>
      <c r="E2200" s="49"/>
    </row>
    <row r="2201" spans="1:5">
      <c r="A2201" s="49"/>
      <c r="B2201" s="49"/>
      <c r="C2201" s="49"/>
      <c r="D2201" s="49"/>
      <c r="E2201" s="49"/>
    </row>
    <row r="2202" spans="1:5">
      <c r="A2202" s="49"/>
      <c r="B2202" s="49"/>
      <c r="C2202" s="49"/>
      <c r="D2202" s="49"/>
      <c r="E2202" s="49"/>
    </row>
    <row r="2203" spans="1:5">
      <c r="A2203" s="49"/>
      <c r="B2203" s="49"/>
      <c r="C2203" s="49"/>
      <c r="D2203" s="49"/>
      <c r="E2203" s="49"/>
    </row>
    <row r="2204" spans="1:5">
      <c r="A2204" s="49"/>
      <c r="B2204" s="49"/>
      <c r="C2204" s="49"/>
      <c r="D2204" s="49"/>
      <c r="E2204" s="49"/>
    </row>
    <row r="2205" spans="1:5">
      <c r="A2205" s="49"/>
      <c r="B2205" s="49"/>
      <c r="C2205" s="49"/>
      <c r="D2205" s="49"/>
      <c r="E2205" s="49"/>
    </row>
    <row r="2206" spans="1:5">
      <c r="A2206" s="49"/>
      <c r="B2206" s="49"/>
      <c r="C2206" s="49"/>
      <c r="D2206" s="49"/>
      <c r="E2206" s="49"/>
    </row>
    <row r="2207" spans="1:5">
      <c r="A2207" s="49"/>
      <c r="B2207" s="49"/>
      <c r="C2207" s="49"/>
      <c r="D2207" s="49"/>
      <c r="E2207" s="49"/>
    </row>
    <row r="2208" spans="1:5">
      <c r="A2208" s="49"/>
      <c r="B2208" s="49"/>
      <c r="C2208" s="49"/>
      <c r="D2208" s="49"/>
      <c r="E2208" s="49"/>
    </row>
    <row r="2209" spans="1:5">
      <c r="A2209" s="49"/>
      <c r="B2209" s="49"/>
      <c r="C2209" s="49"/>
      <c r="D2209" s="49"/>
      <c r="E2209" s="49"/>
    </row>
    <row r="2210" spans="1:5">
      <c r="A2210" s="49"/>
      <c r="B2210" s="49"/>
      <c r="C2210" s="49"/>
      <c r="D2210" s="49"/>
      <c r="E2210" s="49"/>
    </row>
    <row r="2211" spans="1:5">
      <c r="A2211" s="49"/>
      <c r="B2211" s="49"/>
      <c r="C2211" s="49"/>
      <c r="D2211" s="49"/>
      <c r="E2211" s="49"/>
    </row>
    <row r="2212" spans="1:5">
      <c r="A2212" s="49"/>
      <c r="B2212" s="49"/>
      <c r="C2212" s="49"/>
      <c r="D2212" s="49"/>
      <c r="E2212" s="49"/>
    </row>
    <row r="2213" spans="1:5">
      <c r="A2213" s="49"/>
      <c r="B2213" s="49"/>
      <c r="C2213" s="49"/>
      <c r="D2213" s="49"/>
      <c r="E2213" s="49"/>
    </row>
    <row r="2214" spans="1:5">
      <c r="A2214" s="49"/>
      <c r="B2214" s="49"/>
      <c r="C2214" s="49"/>
      <c r="D2214" s="49"/>
      <c r="E2214" s="49"/>
    </row>
    <row r="2215" spans="1:5">
      <c r="A2215" s="49"/>
      <c r="B2215" s="49"/>
      <c r="C2215" s="49"/>
      <c r="D2215" s="49"/>
      <c r="E2215" s="49"/>
    </row>
    <row r="2216" spans="1:5">
      <c r="A2216" s="49"/>
      <c r="B2216" s="49"/>
      <c r="C2216" s="49"/>
      <c r="D2216" s="49"/>
      <c r="E2216" s="49"/>
    </row>
    <row r="2217" spans="1:5">
      <c r="A2217" s="49"/>
      <c r="B2217" s="49"/>
      <c r="C2217" s="49"/>
      <c r="D2217" s="49"/>
      <c r="E2217" s="49"/>
    </row>
    <row r="2218" spans="1:5">
      <c r="A2218" s="49"/>
      <c r="B2218" s="49"/>
      <c r="C2218" s="49"/>
      <c r="D2218" s="49"/>
      <c r="E2218" s="49"/>
    </row>
    <row r="2219" spans="1:5">
      <c r="A2219" s="49"/>
      <c r="B2219" s="49"/>
      <c r="C2219" s="49"/>
      <c r="D2219" s="49"/>
      <c r="E2219" s="49"/>
    </row>
    <row r="2220" spans="1:5">
      <c r="A2220" s="49"/>
      <c r="B2220" s="49"/>
      <c r="C2220" s="49"/>
      <c r="D2220" s="49"/>
      <c r="E2220" s="49"/>
    </row>
    <row r="2221" spans="1:5">
      <c r="A2221" s="49"/>
      <c r="B2221" s="49"/>
      <c r="C2221" s="49"/>
      <c r="D2221" s="49"/>
      <c r="E2221" s="49"/>
    </row>
    <row r="2222" spans="1:5">
      <c r="A2222" s="49"/>
      <c r="B2222" s="49"/>
      <c r="C2222" s="49"/>
      <c r="D2222" s="49"/>
      <c r="E2222" s="49"/>
    </row>
    <row r="2223" spans="1:5">
      <c r="A2223" s="49"/>
      <c r="B2223" s="49"/>
      <c r="C2223" s="49"/>
      <c r="D2223" s="49"/>
      <c r="E2223" s="49"/>
    </row>
    <row r="2224" spans="1:5">
      <c r="A2224" s="49"/>
      <c r="B2224" s="49"/>
      <c r="C2224" s="49"/>
      <c r="D2224" s="49"/>
      <c r="E2224" s="49"/>
    </row>
    <row r="2225" spans="1:5">
      <c r="A2225" s="49"/>
      <c r="B2225" s="49"/>
      <c r="C2225" s="49"/>
      <c r="D2225" s="49"/>
      <c r="E2225" s="49"/>
    </row>
    <row r="2226" spans="1:5">
      <c r="A2226" s="49"/>
      <c r="B2226" s="49"/>
      <c r="C2226" s="49"/>
      <c r="D2226" s="49"/>
      <c r="E2226" s="49"/>
    </row>
    <row r="2227" spans="1:5">
      <c r="A2227" s="49"/>
      <c r="B2227" s="49"/>
      <c r="C2227" s="49"/>
      <c r="D2227" s="49"/>
      <c r="E2227" s="49"/>
    </row>
    <row r="2228" spans="1:5">
      <c r="A2228" s="49"/>
      <c r="B2228" s="49"/>
      <c r="C2228" s="49"/>
      <c r="D2228" s="49"/>
      <c r="E2228" s="49"/>
    </row>
    <row r="2229" spans="1:5">
      <c r="A2229" s="49"/>
      <c r="B2229" s="49"/>
      <c r="C2229" s="49"/>
      <c r="D2229" s="49"/>
      <c r="E2229" s="49"/>
    </row>
    <row r="2230" spans="1:5">
      <c r="A2230" s="49"/>
      <c r="B2230" s="49"/>
      <c r="C2230" s="49"/>
      <c r="D2230" s="49"/>
      <c r="E2230" s="49"/>
    </row>
    <row r="2231" spans="1:5">
      <c r="A2231" s="49"/>
      <c r="B2231" s="49"/>
      <c r="C2231" s="49"/>
      <c r="D2231" s="49"/>
      <c r="E2231" s="49"/>
    </row>
    <row r="2232" spans="1:5">
      <c r="A2232" s="49"/>
      <c r="B2232" s="49"/>
      <c r="C2232" s="49"/>
      <c r="D2232" s="49"/>
      <c r="E2232" s="49"/>
    </row>
    <row r="2233" spans="1:5">
      <c r="A2233" s="49"/>
      <c r="B2233" s="49"/>
      <c r="C2233" s="49"/>
      <c r="D2233" s="49"/>
      <c r="E2233" s="49"/>
    </row>
    <row r="2234" spans="1:5">
      <c r="A2234" s="49"/>
      <c r="B2234" s="49"/>
      <c r="C2234" s="49"/>
      <c r="D2234" s="49"/>
      <c r="E2234" s="49"/>
    </row>
    <row r="2235" spans="1:5">
      <c r="A2235" s="49"/>
      <c r="B2235" s="49"/>
      <c r="C2235" s="49"/>
      <c r="D2235" s="49"/>
      <c r="E2235" s="49"/>
    </row>
    <row r="2236" spans="1:5">
      <c r="A2236" s="49"/>
      <c r="B2236" s="49"/>
      <c r="C2236" s="49"/>
      <c r="D2236" s="49"/>
      <c r="E2236" s="49"/>
    </row>
    <row r="2237" spans="1:5">
      <c r="A2237" s="49"/>
      <c r="B2237" s="49"/>
      <c r="C2237" s="49"/>
      <c r="D2237" s="49"/>
      <c r="E2237" s="49"/>
    </row>
    <row r="2238" spans="1:5">
      <c r="A2238" s="49"/>
      <c r="B2238" s="49"/>
      <c r="C2238" s="49"/>
      <c r="D2238" s="49"/>
      <c r="E2238" s="49"/>
    </row>
    <row r="2239" spans="1:5">
      <c r="A2239" s="49"/>
      <c r="B2239" s="49"/>
      <c r="C2239" s="49"/>
      <c r="D2239" s="49"/>
      <c r="E2239" s="49"/>
    </row>
    <row r="2240" spans="1:5">
      <c r="A2240" s="49"/>
      <c r="B2240" s="49"/>
      <c r="C2240" s="49"/>
      <c r="D2240" s="49"/>
      <c r="E2240" s="49"/>
    </row>
    <row r="2241" spans="1:5">
      <c r="A2241" s="49"/>
      <c r="B2241" s="49"/>
      <c r="C2241" s="49"/>
      <c r="D2241" s="49"/>
      <c r="E2241" s="49"/>
    </row>
    <row r="2242" spans="1:5">
      <c r="A2242" s="49"/>
      <c r="B2242" s="49"/>
      <c r="C2242" s="49"/>
      <c r="D2242" s="49"/>
      <c r="E2242" s="49"/>
    </row>
    <row r="2243" spans="1:5">
      <c r="A2243" s="49"/>
      <c r="B2243" s="49"/>
      <c r="C2243" s="49"/>
      <c r="D2243" s="49"/>
      <c r="E2243" s="49"/>
    </row>
    <row r="2244" spans="1:5">
      <c r="A2244" s="49"/>
      <c r="B2244" s="49"/>
      <c r="C2244" s="49"/>
      <c r="D2244" s="49"/>
      <c r="E2244" s="49"/>
    </row>
    <row r="2245" spans="1:5">
      <c r="A2245" s="49"/>
      <c r="B2245" s="49"/>
      <c r="C2245" s="49"/>
      <c r="D2245" s="49"/>
      <c r="E2245" s="49"/>
    </row>
    <row r="2246" spans="1:5">
      <c r="A2246" s="49"/>
      <c r="B2246" s="49"/>
      <c r="C2246" s="49"/>
      <c r="D2246" s="49"/>
      <c r="E2246" s="49"/>
    </row>
    <row r="2247" spans="1:5">
      <c r="A2247" s="49"/>
      <c r="B2247" s="49"/>
      <c r="C2247" s="49"/>
      <c r="D2247" s="49"/>
      <c r="E2247" s="49"/>
    </row>
    <row r="2248" spans="1:5">
      <c r="A2248" s="49"/>
      <c r="B2248" s="49"/>
      <c r="C2248" s="49"/>
      <c r="D2248" s="49"/>
      <c r="E2248" s="49"/>
    </row>
    <row r="2249" spans="1:5">
      <c r="A2249" s="49"/>
      <c r="B2249" s="49"/>
      <c r="C2249" s="49"/>
      <c r="D2249" s="49"/>
      <c r="E2249" s="49"/>
    </row>
    <row r="2250" spans="1:5">
      <c r="A2250" s="49"/>
      <c r="B2250" s="49"/>
      <c r="C2250" s="49"/>
      <c r="D2250" s="49"/>
      <c r="E2250" s="49"/>
    </row>
    <row r="2251" spans="1:5">
      <c r="A2251" s="49"/>
      <c r="B2251" s="49"/>
      <c r="C2251" s="49"/>
      <c r="D2251" s="49"/>
      <c r="E2251" s="49"/>
    </row>
    <row r="2252" spans="1:5">
      <c r="A2252" s="49"/>
      <c r="B2252" s="49"/>
      <c r="C2252" s="49"/>
      <c r="D2252" s="49"/>
      <c r="E2252" s="49"/>
    </row>
    <row r="2253" spans="1:5">
      <c r="A2253" s="49"/>
      <c r="B2253" s="49"/>
      <c r="C2253" s="49"/>
      <c r="D2253" s="49"/>
      <c r="E2253" s="49"/>
    </row>
    <row r="2254" spans="1:5">
      <c r="A2254" s="49"/>
      <c r="B2254" s="49"/>
      <c r="C2254" s="49"/>
      <c r="D2254" s="49"/>
      <c r="E2254" s="49"/>
    </row>
    <row r="2255" spans="1:5">
      <c r="A2255" s="49"/>
      <c r="B2255" s="49"/>
      <c r="C2255" s="49"/>
      <c r="D2255" s="49"/>
      <c r="E2255" s="49"/>
    </row>
    <row r="2256" spans="1:5">
      <c r="A2256" s="49"/>
      <c r="B2256" s="49"/>
      <c r="C2256" s="49"/>
      <c r="D2256" s="49"/>
      <c r="E2256" s="49"/>
    </row>
    <row r="2257" spans="1:5">
      <c r="A2257" s="49"/>
      <c r="B2257" s="49"/>
      <c r="C2257" s="49"/>
      <c r="D2257" s="49"/>
      <c r="E2257" s="49"/>
    </row>
    <row r="2258" spans="1:5">
      <c r="A2258" s="49"/>
      <c r="B2258" s="49"/>
      <c r="C2258" s="49"/>
      <c r="D2258" s="49"/>
      <c r="E2258" s="49"/>
    </row>
    <row r="2259" spans="1:5">
      <c r="A2259" s="49"/>
      <c r="B2259" s="49"/>
      <c r="C2259" s="49"/>
      <c r="D2259" s="49"/>
      <c r="E2259" s="49"/>
    </row>
    <row r="2260" spans="1:5">
      <c r="A2260" s="49"/>
      <c r="B2260" s="49"/>
      <c r="C2260" s="49"/>
      <c r="D2260" s="49"/>
      <c r="E2260" s="49"/>
    </row>
    <row r="2261" spans="1:5">
      <c r="A2261" s="49"/>
      <c r="B2261" s="49"/>
      <c r="C2261" s="49"/>
      <c r="D2261" s="49"/>
      <c r="E2261" s="49"/>
    </row>
    <row r="2262" spans="1:5">
      <c r="A2262" s="49"/>
      <c r="B2262" s="49"/>
      <c r="C2262" s="49"/>
      <c r="D2262" s="49"/>
      <c r="E2262" s="49"/>
    </row>
    <row r="2263" spans="1:5">
      <c r="A2263" s="49"/>
      <c r="B2263" s="49"/>
      <c r="C2263" s="49"/>
      <c r="D2263" s="49"/>
      <c r="E2263" s="49"/>
    </row>
    <row r="2264" spans="1:5">
      <c r="A2264" s="49"/>
      <c r="B2264" s="49"/>
      <c r="C2264" s="49"/>
      <c r="D2264" s="49"/>
      <c r="E2264" s="49"/>
    </row>
    <row r="2265" spans="1:5">
      <c r="A2265" s="49"/>
      <c r="B2265" s="49"/>
      <c r="C2265" s="49"/>
      <c r="D2265" s="49"/>
      <c r="E2265" s="49"/>
    </row>
    <row r="2266" spans="1:5">
      <c r="A2266" s="49"/>
      <c r="B2266" s="49"/>
      <c r="C2266" s="49"/>
      <c r="D2266" s="49"/>
      <c r="E2266" s="49"/>
    </row>
    <row r="2267" spans="1:5">
      <c r="A2267" s="49"/>
      <c r="B2267" s="49"/>
      <c r="C2267" s="49"/>
      <c r="D2267" s="49"/>
      <c r="E2267" s="49"/>
    </row>
    <row r="2268" spans="1:5">
      <c r="A2268" s="49"/>
      <c r="B2268" s="49"/>
      <c r="C2268" s="49"/>
      <c r="D2268" s="49"/>
      <c r="E2268" s="49"/>
    </row>
    <row r="2269" spans="1:5">
      <c r="A2269" s="49"/>
      <c r="B2269" s="49"/>
      <c r="C2269" s="49"/>
      <c r="D2269" s="49"/>
      <c r="E2269" s="49"/>
    </row>
    <row r="2270" spans="1:5">
      <c r="A2270" s="49"/>
      <c r="B2270" s="49"/>
      <c r="C2270" s="49"/>
      <c r="D2270" s="49"/>
      <c r="E2270" s="49"/>
    </row>
    <row r="2271" spans="1:5">
      <c r="A2271" s="49"/>
      <c r="B2271" s="49"/>
      <c r="C2271" s="49"/>
      <c r="D2271" s="49"/>
      <c r="E2271" s="49"/>
    </row>
    <row r="2272" spans="1:5">
      <c r="A2272" s="49"/>
      <c r="B2272" s="49"/>
      <c r="C2272" s="49"/>
      <c r="D2272" s="49"/>
      <c r="E2272" s="49"/>
    </row>
    <row r="2273" spans="1:5">
      <c r="A2273" s="49"/>
      <c r="B2273" s="49"/>
      <c r="C2273" s="49"/>
      <c r="D2273" s="49"/>
      <c r="E2273" s="49"/>
    </row>
    <row r="2274" spans="1:5">
      <c r="A2274" s="49"/>
      <c r="B2274" s="49"/>
      <c r="C2274" s="49"/>
      <c r="D2274" s="49"/>
      <c r="E2274" s="49"/>
    </row>
    <row r="2275" spans="1:5">
      <c r="A2275" s="49"/>
      <c r="B2275" s="49"/>
      <c r="C2275" s="49"/>
      <c r="D2275" s="49"/>
      <c r="E2275" s="49"/>
    </row>
    <row r="2276" spans="1:5">
      <c r="A2276" s="49"/>
      <c r="B2276" s="49"/>
      <c r="C2276" s="49"/>
      <c r="D2276" s="49"/>
      <c r="E2276" s="49"/>
    </row>
    <row r="2277" spans="1:5">
      <c r="A2277" s="49"/>
      <c r="B2277" s="49"/>
      <c r="C2277" s="49"/>
      <c r="D2277" s="49"/>
      <c r="E2277" s="49"/>
    </row>
    <row r="2278" spans="1:5">
      <c r="A2278" s="49"/>
      <c r="B2278" s="49"/>
      <c r="C2278" s="49"/>
      <c r="D2278" s="49"/>
      <c r="E2278" s="49"/>
    </row>
    <row r="2279" spans="1:5">
      <c r="A2279" s="49"/>
      <c r="B2279" s="49"/>
      <c r="C2279" s="49"/>
      <c r="D2279" s="49"/>
      <c r="E2279" s="49"/>
    </row>
    <row r="2280" spans="1:5">
      <c r="A2280" s="49"/>
      <c r="B2280" s="49"/>
      <c r="C2280" s="49"/>
      <c r="D2280" s="49"/>
      <c r="E2280" s="49"/>
    </row>
    <row r="2281" spans="1:5">
      <c r="A2281" s="49"/>
      <c r="B2281" s="49"/>
      <c r="C2281" s="49"/>
      <c r="D2281" s="49"/>
      <c r="E2281" s="49"/>
    </row>
    <row r="2282" spans="1:5">
      <c r="A2282" s="49"/>
      <c r="B2282" s="49"/>
      <c r="C2282" s="49"/>
      <c r="D2282" s="49"/>
      <c r="E2282" s="49"/>
    </row>
    <row r="2283" spans="1:5">
      <c r="A2283" s="49"/>
      <c r="B2283" s="49"/>
      <c r="C2283" s="49"/>
      <c r="D2283" s="49"/>
      <c r="E2283" s="49"/>
    </row>
    <row r="2284" spans="1:5">
      <c r="A2284" s="49"/>
      <c r="B2284" s="49"/>
      <c r="C2284" s="49"/>
      <c r="D2284" s="49"/>
      <c r="E2284" s="49"/>
    </row>
    <row r="2285" spans="1:5">
      <c r="A2285" s="49"/>
      <c r="B2285" s="49"/>
      <c r="C2285" s="49"/>
      <c r="D2285" s="49"/>
      <c r="E2285" s="49"/>
    </row>
    <row r="2286" spans="1:5">
      <c r="A2286" s="49"/>
      <c r="B2286" s="49"/>
      <c r="C2286" s="49"/>
      <c r="D2286" s="49"/>
      <c r="E2286" s="49"/>
    </row>
    <row r="2287" spans="1:5">
      <c r="A2287" s="49"/>
      <c r="B2287" s="49"/>
      <c r="C2287" s="49"/>
      <c r="D2287" s="49"/>
      <c r="E2287" s="49"/>
    </row>
    <row r="2288" spans="1:5">
      <c r="A2288" s="49"/>
      <c r="B2288" s="49"/>
      <c r="C2288" s="49"/>
      <c r="D2288" s="49"/>
      <c r="E2288" s="49"/>
    </row>
    <row r="2289" spans="1:5">
      <c r="A2289" s="49"/>
      <c r="B2289" s="49"/>
      <c r="C2289" s="49"/>
      <c r="D2289" s="49"/>
      <c r="E2289" s="49"/>
    </row>
    <row r="2290" spans="1:5">
      <c r="A2290" s="49"/>
      <c r="B2290" s="49"/>
      <c r="C2290" s="49"/>
      <c r="D2290" s="49"/>
      <c r="E2290" s="49"/>
    </row>
    <row r="2291" spans="1:5">
      <c r="A2291" s="49"/>
      <c r="B2291" s="49"/>
      <c r="C2291" s="49"/>
      <c r="D2291" s="49"/>
      <c r="E2291" s="49"/>
    </row>
    <row r="2292" spans="1:5">
      <c r="A2292" s="49"/>
      <c r="B2292" s="49"/>
      <c r="C2292" s="49"/>
      <c r="D2292" s="49"/>
      <c r="E2292" s="49"/>
    </row>
    <row r="2293" spans="1:5">
      <c r="A2293" s="49"/>
      <c r="B2293" s="49"/>
      <c r="C2293" s="49"/>
      <c r="D2293" s="49"/>
      <c r="E2293" s="49"/>
    </row>
    <row r="2294" spans="1:5">
      <c r="A2294" s="49"/>
      <c r="B2294" s="49"/>
      <c r="C2294" s="49"/>
      <c r="D2294" s="49"/>
      <c r="E2294" s="49"/>
    </row>
    <row r="2295" spans="1:5">
      <c r="A2295" s="49"/>
      <c r="B2295" s="49"/>
      <c r="C2295" s="49"/>
      <c r="D2295" s="49"/>
      <c r="E2295" s="49"/>
    </row>
    <row r="2296" spans="1:5">
      <c r="A2296" s="49"/>
      <c r="B2296" s="49"/>
      <c r="C2296" s="49"/>
      <c r="D2296" s="49"/>
      <c r="E2296" s="49"/>
    </row>
    <row r="2297" spans="1:5">
      <c r="A2297" s="49"/>
      <c r="B2297" s="49"/>
      <c r="C2297" s="49"/>
      <c r="D2297" s="49"/>
      <c r="E2297" s="49"/>
    </row>
    <row r="2298" spans="1:5">
      <c r="A2298" s="49"/>
      <c r="B2298" s="49"/>
      <c r="C2298" s="49"/>
      <c r="D2298" s="49"/>
      <c r="E2298" s="49"/>
    </row>
    <row r="2299" spans="1:5">
      <c r="A2299" s="49"/>
      <c r="B2299" s="49"/>
      <c r="C2299" s="49"/>
      <c r="D2299" s="49"/>
      <c r="E2299" s="49"/>
    </row>
    <row r="2300" spans="1:5">
      <c r="A2300" s="49"/>
      <c r="B2300" s="49"/>
      <c r="C2300" s="49"/>
      <c r="D2300" s="49"/>
      <c r="E2300" s="49"/>
    </row>
    <row r="2301" spans="1:5">
      <c r="A2301" s="49"/>
      <c r="B2301" s="49"/>
      <c r="C2301" s="49"/>
      <c r="D2301" s="49"/>
      <c r="E2301" s="49"/>
    </row>
    <row r="2302" spans="1:5">
      <c r="A2302" s="49"/>
      <c r="B2302" s="49"/>
      <c r="C2302" s="49"/>
      <c r="D2302" s="49"/>
      <c r="E2302" s="49"/>
    </row>
    <row r="2303" spans="1:5">
      <c r="A2303" s="49"/>
      <c r="B2303" s="49"/>
      <c r="C2303" s="49"/>
      <c r="D2303" s="49"/>
      <c r="E2303" s="49"/>
    </row>
    <row r="2304" spans="1:5">
      <c r="A2304" s="49"/>
      <c r="B2304" s="49"/>
      <c r="C2304" s="49"/>
      <c r="D2304" s="49"/>
      <c r="E2304" s="49"/>
    </row>
    <row r="2305" spans="1:5">
      <c r="A2305" s="49"/>
      <c r="B2305" s="49"/>
      <c r="C2305" s="49"/>
      <c r="D2305" s="49"/>
      <c r="E2305" s="49"/>
    </row>
    <row r="2306" spans="1:5">
      <c r="A2306" s="49"/>
      <c r="B2306" s="49"/>
      <c r="C2306" s="49"/>
      <c r="D2306" s="49"/>
      <c r="E2306" s="49"/>
    </row>
    <row r="2307" spans="1:5">
      <c r="A2307" s="49"/>
      <c r="B2307" s="49"/>
      <c r="C2307" s="49"/>
      <c r="D2307" s="49"/>
      <c r="E2307" s="49"/>
    </row>
    <row r="2308" spans="1:5">
      <c r="A2308" s="49"/>
      <c r="B2308" s="49"/>
      <c r="C2308" s="49"/>
      <c r="D2308" s="49"/>
      <c r="E2308" s="49"/>
    </row>
    <row r="2309" spans="1:5">
      <c r="A2309" s="49"/>
      <c r="B2309" s="49"/>
      <c r="C2309" s="49"/>
      <c r="D2309" s="49"/>
      <c r="E2309" s="49"/>
    </row>
    <row r="2310" spans="1:5">
      <c r="A2310" s="49"/>
      <c r="B2310" s="49"/>
      <c r="C2310" s="49"/>
      <c r="D2310" s="49"/>
      <c r="E2310" s="49"/>
    </row>
    <row r="2311" spans="1:5">
      <c r="A2311" s="49"/>
      <c r="B2311" s="49"/>
      <c r="C2311" s="49"/>
      <c r="D2311" s="49"/>
      <c r="E2311" s="49"/>
    </row>
    <row r="2312" spans="1:5">
      <c r="A2312" s="49"/>
      <c r="B2312" s="49"/>
      <c r="C2312" s="49"/>
      <c r="D2312" s="49"/>
      <c r="E2312" s="49"/>
    </row>
    <row r="2313" spans="1:5">
      <c r="A2313" s="49"/>
      <c r="B2313" s="49"/>
      <c r="C2313" s="49"/>
      <c r="D2313" s="49"/>
      <c r="E2313" s="49"/>
    </row>
    <row r="2314" spans="1:5">
      <c r="A2314" s="49"/>
      <c r="B2314" s="49"/>
      <c r="C2314" s="49"/>
      <c r="D2314" s="49"/>
      <c r="E2314" s="49"/>
    </row>
    <row r="2315" spans="1:5">
      <c r="A2315" s="49"/>
      <c r="B2315" s="49"/>
      <c r="C2315" s="49"/>
      <c r="D2315" s="49"/>
      <c r="E2315" s="49"/>
    </row>
    <row r="2316" spans="1:5">
      <c r="A2316" s="49"/>
      <c r="B2316" s="49"/>
      <c r="C2316" s="49"/>
      <c r="D2316" s="49"/>
      <c r="E2316" s="49"/>
    </row>
    <row r="2317" spans="1:5">
      <c r="A2317" s="49"/>
      <c r="B2317" s="49"/>
      <c r="C2317" s="49"/>
      <c r="D2317" s="49"/>
      <c r="E2317" s="49"/>
    </row>
    <row r="2318" spans="1:5">
      <c r="A2318" s="49"/>
      <c r="B2318" s="49"/>
      <c r="C2318" s="49"/>
      <c r="D2318" s="49"/>
      <c r="E2318" s="49"/>
    </row>
    <row r="2319" spans="1:5">
      <c r="A2319" s="49"/>
      <c r="B2319" s="49"/>
      <c r="C2319" s="49"/>
      <c r="D2319" s="49"/>
      <c r="E2319" s="49"/>
    </row>
    <row r="2320" spans="1:5">
      <c r="A2320" s="49"/>
      <c r="B2320" s="49"/>
      <c r="C2320" s="49"/>
      <c r="D2320" s="49"/>
      <c r="E2320" s="49"/>
    </row>
    <row r="2321" spans="1:5">
      <c r="A2321" s="49"/>
      <c r="B2321" s="49"/>
      <c r="C2321" s="49"/>
      <c r="D2321" s="49"/>
      <c r="E2321" s="49"/>
    </row>
    <row r="2322" spans="1:5">
      <c r="A2322" s="49"/>
      <c r="B2322" s="49"/>
      <c r="C2322" s="49"/>
      <c r="D2322" s="49"/>
      <c r="E2322" s="49"/>
    </row>
    <row r="2323" spans="1:5">
      <c r="A2323" s="49"/>
      <c r="B2323" s="49"/>
      <c r="C2323" s="49"/>
      <c r="D2323" s="49"/>
      <c r="E2323" s="49"/>
    </row>
    <row r="2324" spans="1:5">
      <c r="A2324" s="49"/>
      <c r="B2324" s="49"/>
      <c r="C2324" s="49"/>
      <c r="D2324" s="49"/>
      <c r="E2324" s="49"/>
    </row>
    <row r="2325" spans="1:5">
      <c r="A2325" s="49"/>
      <c r="B2325" s="49"/>
      <c r="C2325" s="49"/>
      <c r="D2325" s="49"/>
      <c r="E2325" s="49"/>
    </row>
    <row r="2326" spans="1:5">
      <c r="A2326" s="49"/>
      <c r="B2326" s="49"/>
      <c r="C2326" s="49"/>
      <c r="D2326" s="49"/>
      <c r="E2326" s="49"/>
    </row>
    <row r="2327" spans="1:5">
      <c r="A2327" s="49"/>
      <c r="B2327" s="49"/>
      <c r="C2327" s="49"/>
      <c r="D2327" s="49"/>
      <c r="E2327" s="49"/>
    </row>
    <row r="2328" spans="1:5">
      <c r="A2328" s="49"/>
      <c r="B2328" s="49"/>
      <c r="C2328" s="49"/>
      <c r="D2328" s="49"/>
      <c r="E2328" s="49"/>
    </row>
    <row r="2329" spans="1:5">
      <c r="A2329" s="49"/>
      <c r="B2329" s="49"/>
      <c r="C2329" s="49"/>
      <c r="D2329" s="49"/>
      <c r="E2329" s="49"/>
    </row>
    <row r="2330" spans="1:5">
      <c r="A2330" s="49"/>
      <c r="B2330" s="49"/>
      <c r="C2330" s="49"/>
      <c r="D2330" s="49"/>
      <c r="E2330" s="49"/>
    </row>
    <row r="2331" spans="1:5">
      <c r="A2331" s="49"/>
      <c r="B2331" s="49"/>
      <c r="C2331" s="49"/>
      <c r="D2331" s="49"/>
      <c r="E2331" s="49"/>
    </row>
    <row r="2332" spans="1:5">
      <c r="A2332" s="49"/>
      <c r="B2332" s="49"/>
      <c r="C2332" s="49"/>
      <c r="D2332" s="49"/>
      <c r="E2332" s="49"/>
    </row>
    <row r="2333" spans="1:5">
      <c r="A2333" s="49"/>
      <c r="B2333" s="49"/>
      <c r="C2333" s="49"/>
      <c r="D2333" s="49"/>
      <c r="E2333" s="49"/>
    </row>
    <row r="2334" spans="1:5">
      <c r="A2334" s="49"/>
      <c r="B2334" s="49"/>
      <c r="C2334" s="49"/>
      <c r="D2334" s="49"/>
      <c r="E2334" s="49"/>
    </row>
    <row r="2335" spans="1:5">
      <c r="A2335" s="49"/>
      <c r="B2335" s="49"/>
      <c r="C2335" s="49"/>
      <c r="D2335" s="49"/>
      <c r="E2335" s="49"/>
    </row>
    <row r="2336" spans="1:5">
      <c r="A2336" s="49"/>
      <c r="B2336" s="49"/>
      <c r="C2336" s="49"/>
      <c r="D2336" s="49"/>
      <c r="E2336" s="49"/>
    </row>
    <row r="2337" spans="1:5">
      <c r="A2337" s="49"/>
      <c r="B2337" s="49"/>
      <c r="C2337" s="49"/>
      <c r="D2337" s="49"/>
      <c r="E2337" s="49"/>
    </row>
    <row r="2338" spans="1:5">
      <c r="A2338" s="49"/>
      <c r="B2338" s="49"/>
      <c r="C2338" s="49"/>
      <c r="D2338" s="49"/>
      <c r="E2338" s="49"/>
    </row>
    <row r="2339" spans="1:5">
      <c r="A2339" s="49"/>
      <c r="B2339" s="49"/>
      <c r="C2339" s="49"/>
      <c r="D2339" s="49"/>
      <c r="E2339" s="49"/>
    </row>
    <row r="2340" spans="1:5">
      <c r="A2340" s="49"/>
      <c r="B2340" s="49"/>
      <c r="C2340" s="49"/>
      <c r="D2340" s="49"/>
      <c r="E2340" s="49"/>
    </row>
    <row r="2341" spans="1:5">
      <c r="A2341" s="49"/>
      <c r="B2341" s="49"/>
      <c r="C2341" s="49"/>
      <c r="D2341" s="49"/>
      <c r="E2341" s="49"/>
    </row>
    <row r="2342" spans="1:5">
      <c r="A2342" s="49"/>
      <c r="B2342" s="49"/>
      <c r="C2342" s="49"/>
      <c r="D2342" s="49"/>
      <c r="E2342" s="49"/>
    </row>
    <row r="2343" spans="1:5">
      <c r="A2343" s="49"/>
      <c r="B2343" s="49"/>
      <c r="C2343" s="49"/>
      <c r="D2343" s="49"/>
      <c r="E2343" s="49"/>
    </row>
    <row r="2344" spans="1:5">
      <c r="A2344" s="49"/>
      <c r="B2344" s="49"/>
      <c r="C2344" s="49"/>
      <c r="D2344" s="49"/>
      <c r="E2344" s="49"/>
    </row>
    <row r="2345" spans="1:5">
      <c r="A2345" s="49"/>
      <c r="B2345" s="49"/>
      <c r="C2345" s="49"/>
      <c r="D2345" s="49"/>
      <c r="E2345" s="49"/>
    </row>
    <row r="2346" spans="1:5">
      <c r="A2346" s="49"/>
      <c r="B2346" s="49"/>
      <c r="C2346" s="49"/>
      <c r="D2346" s="49"/>
      <c r="E2346" s="49"/>
    </row>
    <row r="2347" spans="1:5">
      <c r="A2347" s="49"/>
      <c r="B2347" s="49"/>
      <c r="C2347" s="49"/>
      <c r="D2347" s="49"/>
      <c r="E2347" s="49"/>
    </row>
    <row r="2348" spans="1:5">
      <c r="A2348" s="49"/>
      <c r="B2348" s="49"/>
      <c r="C2348" s="49"/>
      <c r="D2348" s="49"/>
      <c r="E2348" s="49"/>
    </row>
    <row r="2349" spans="1:5">
      <c r="A2349" s="49"/>
      <c r="B2349" s="49"/>
      <c r="C2349" s="49"/>
      <c r="D2349" s="49"/>
      <c r="E2349" s="49"/>
    </row>
    <row r="2350" spans="1:5">
      <c r="A2350" s="49"/>
      <c r="B2350" s="49"/>
      <c r="C2350" s="49"/>
      <c r="D2350" s="49"/>
      <c r="E2350" s="49"/>
    </row>
    <row r="2351" spans="1:5">
      <c r="A2351" s="49"/>
      <c r="B2351" s="49"/>
      <c r="C2351" s="49"/>
      <c r="D2351" s="49"/>
      <c r="E2351" s="49"/>
    </row>
    <row r="2352" spans="1:5">
      <c r="A2352" s="49"/>
      <c r="B2352" s="49"/>
      <c r="C2352" s="49"/>
      <c r="D2352" s="49"/>
      <c r="E2352" s="49"/>
    </row>
    <row r="2353" spans="1:5">
      <c r="A2353" s="49"/>
      <c r="B2353" s="49"/>
      <c r="C2353" s="49"/>
      <c r="D2353" s="49"/>
      <c r="E2353" s="49"/>
    </row>
    <row r="2354" spans="1:5">
      <c r="A2354" s="49"/>
      <c r="B2354" s="49"/>
      <c r="C2354" s="49"/>
      <c r="D2354" s="49"/>
      <c r="E2354" s="49"/>
    </row>
    <row r="2355" spans="1:5">
      <c r="A2355" s="49"/>
      <c r="B2355" s="49"/>
      <c r="C2355" s="49"/>
      <c r="D2355" s="49"/>
      <c r="E2355" s="49"/>
    </row>
    <row r="2356" spans="1:5">
      <c r="A2356" s="49"/>
      <c r="B2356" s="49"/>
      <c r="C2356" s="49"/>
      <c r="D2356" s="49"/>
      <c r="E2356" s="49"/>
    </row>
    <row r="2357" spans="1:5">
      <c r="A2357" s="49"/>
      <c r="B2357" s="49"/>
      <c r="C2357" s="49"/>
      <c r="D2357" s="49"/>
      <c r="E2357" s="49"/>
    </row>
    <row r="2358" spans="1:5">
      <c r="A2358" s="49"/>
      <c r="B2358" s="49"/>
      <c r="C2358" s="49"/>
      <c r="D2358" s="49"/>
      <c r="E2358" s="49"/>
    </row>
    <row r="2359" spans="1:5">
      <c r="A2359" s="49"/>
      <c r="B2359" s="49"/>
      <c r="C2359" s="49"/>
      <c r="D2359" s="49"/>
      <c r="E2359" s="49"/>
    </row>
    <row r="2360" spans="1:5">
      <c r="A2360" s="49"/>
      <c r="B2360" s="49"/>
      <c r="C2360" s="49"/>
      <c r="D2360" s="49"/>
      <c r="E2360" s="49"/>
    </row>
    <row r="2361" spans="1:5">
      <c r="A2361" s="49"/>
      <c r="B2361" s="49"/>
      <c r="C2361" s="49"/>
      <c r="D2361" s="49"/>
      <c r="E2361" s="49"/>
    </row>
    <row r="2362" spans="1:5">
      <c r="A2362" s="49"/>
      <c r="B2362" s="49"/>
      <c r="C2362" s="49"/>
      <c r="D2362" s="49"/>
      <c r="E2362" s="49"/>
    </row>
    <row r="2363" spans="1:5">
      <c r="A2363" s="49"/>
      <c r="B2363" s="49"/>
      <c r="C2363" s="49"/>
      <c r="D2363" s="49"/>
      <c r="E2363" s="49"/>
    </row>
    <row r="2364" spans="1:5">
      <c r="A2364" s="49"/>
      <c r="B2364" s="49"/>
      <c r="C2364" s="49"/>
      <c r="D2364" s="49"/>
      <c r="E2364" s="49"/>
    </row>
    <row r="2365" spans="1:5">
      <c r="A2365" s="49"/>
      <c r="B2365" s="49"/>
      <c r="C2365" s="49"/>
      <c r="D2365" s="49"/>
      <c r="E2365" s="49"/>
    </row>
    <row r="2366" spans="1:5">
      <c r="A2366" s="49"/>
      <c r="B2366" s="49"/>
      <c r="C2366" s="49"/>
      <c r="D2366" s="49"/>
      <c r="E2366" s="49"/>
    </row>
    <row r="2367" spans="1:5">
      <c r="A2367" s="49"/>
      <c r="B2367" s="49"/>
      <c r="C2367" s="49"/>
      <c r="D2367" s="49"/>
      <c r="E2367" s="49"/>
    </row>
    <row r="2368" spans="1:5">
      <c r="A2368" s="49"/>
      <c r="B2368" s="49"/>
      <c r="C2368" s="49"/>
      <c r="D2368" s="49"/>
      <c r="E2368" s="49"/>
    </row>
    <row r="2369" spans="1:5">
      <c r="A2369" s="49"/>
      <c r="B2369" s="49"/>
      <c r="C2369" s="49"/>
      <c r="D2369" s="49"/>
      <c r="E2369" s="49"/>
    </row>
    <row r="2370" spans="1:5">
      <c r="A2370" s="49"/>
      <c r="B2370" s="49"/>
      <c r="C2370" s="49"/>
      <c r="D2370" s="49"/>
      <c r="E2370" s="49"/>
    </row>
    <row r="2371" spans="1:5">
      <c r="A2371" s="49"/>
      <c r="B2371" s="49"/>
      <c r="C2371" s="49"/>
      <c r="D2371" s="49"/>
      <c r="E2371" s="49"/>
    </row>
    <row r="2372" spans="1:5">
      <c r="A2372" s="49"/>
      <c r="B2372" s="49"/>
      <c r="C2372" s="49"/>
      <c r="D2372" s="49"/>
      <c r="E2372" s="49"/>
    </row>
    <row r="2373" spans="1:5">
      <c r="A2373" s="49"/>
      <c r="B2373" s="49"/>
      <c r="C2373" s="49"/>
      <c r="D2373" s="49"/>
      <c r="E2373" s="49"/>
    </row>
    <row r="2374" spans="1:5">
      <c r="A2374" s="49"/>
      <c r="B2374" s="49"/>
      <c r="C2374" s="49"/>
      <c r="D2374" s="49"/>
      <c r="E2374" s="49"/>
    </row>
    <row r="2375" spans="1:5">
      <c r="A2375" s="49"/>
      <c r="B2375" s="49"/>
      <c r="C2375" s="49"/>
      <c r="D2375" s="49"/>
      <c r="E2375" s="49"/>
    </row>
    <row r="2376" spans="1:5">
      <c r="A2376" s="49"/>
      <c r="B2376" s="49"/>
      <c r="C2376" s="49"/>
      <c r="D2376" s="49"/>
      <c r="E2376" s="49"/>
    </row>
    <row r="2377" spans="1:5">
      <c r="A2377" s="49"/>
      <c r="B2377" s="49"/>
      <c r="C2377" s="49"/>
      <c r="D2377" s="49"/>
      <c r="E2377" s="49"/>
    </row>
    <row r="2378" spans="1:5">
      <c r="A2378" s="49"/>
      <c r="B2378" s="49"/>
      <c r="C2378" s="49"/>
      <c r="D2378" s="49"/>
      <c r="E2378" s="49"/>
    </row>
    <row r="2379" spans="1:5">
      <c r="A2379" s="49"/>
      <c r="B2379" s="49"/>
      <c r="C2379" s="49"/>
      <c r="D2379" s="49"/>
      <c r="E2379" s="49"/>
    </row>
    <row r="2380" spans="1:5">
      <c r="A2380" s="49"/>
      <c r="B2380" s="49"/>
      <c r="C2380" s="49"/>
      <c r="D2380" s="49"/>
      <c r="E2380" s="49"/>
    </row>
    <row r="2381" spans="1:5">
      <c r="A2381" s="49"/>
      <c r="B2381" s="49"/>
      <c r="C2381" s="49"/>
      <c r="D2381" s="49"/>
      <c r="E2381" s="49"/>
    </row>
    <row r="2382" spans="1:5">
      <c r="A2382" s="49"/>
      <c r="B2382" s="49"/>
      <c r="C2382" s="49"/>
      <c r="D2382" s="49"/>
      <c r="E2382" s="49"/>
    </row>
    <row r="2383" spans="1:5">
      <c r="A2383" s="49"/>
      <c r="B2383" s="49"/>
      <c r="C2383" s="49"/>
      <c r="D2383" s="49"/>
      <c r="E2383" s="49"/>
    </row>
    <row r="2384" spans="1:5">
      <c r="A2384" s="49"/>
      <c r="B2384" s="49"/>
      <c r="C2384" s="49"/>
      <c r="D2384" s="49"/>
      <c r="E2384" s="49"/>
    </row>
    <row r="2385" spans="1:5">
      <c r="A2385" s="49"/>
      <c r="B2385" s="49"/>
      <c r="C2385" s="49"/>
      <c r="D2385" s="49"/>
      <c r="E2385" s="49"/>
    </row>
    <row r="2386" spans="1:5">
      <c r="A2386" s="49"/>
      <c r="B2386" s="49"/>
      <c r="C2386" s="49"/>
      <c r="D2386" s="49"/>
      <c r="E2386" s="49"/>
    </row>
    <row r="2387" spans="1:5">
      <c r="A2387" s="49"/>
      <c r="B2387" s="49"/>
      <c r="C2387" s="49"/>
      <c r="D2387" s="49"/>
      <c r="E2387" s="49"/>
    </row>
    <row r="2388" spans="1:5">
      <c r="A2388" s="49"/>
      <c r="B2388" s="49"/>
      <c r="C2388" s="49"/>
      <c r="D2388" s="49"/>
      <c r="E2388" s="49"/>
    </row>
    <row r="2389" spans="1:5">
      <c r="A2389" s="49"/>
      <c r="B2389" s="49"/>
      <c r="C2389" s="49"/>
      <c r="D2389" s="49"/>
      <c r="E2389" s="49"/>
    </row>
    <row r="2390" spans="1:5">
      <c r="A2390" s="49"/>
      <c r="B2390" s="49"/>
      <c r="C2390" s="49"/>
      <c r="D2390" s="49"/>
      <c r="E2390" s="49"/>
    </row>
    <row r="2391" spans="1:5">
      <c r="A2391" s="49"/>
      <c r="B2391" s="49"/>
      <c r="C2391" s="49"/>
      <c r="D2391" s="49"/>
      <c r="E2391" s="49"/>
    </row>
    <row r="2392" spans="1:5">
      <c r="A2392" s="49"/>
      <c r="B2392" s="49"/>
      <c r="C2392" s="49"/>
      <c r="D2392" s="49"/>
      <c r="E2392" s="49"/>
    </row>
    <row r="2393" spans="1:5">
      <c r="A2393" s="49"/>
      <c r="B2393" s="49"/>
      <c r="C2393" s="49"/>
      <c r="D2393" s="49"/>
      <c r="E2393" s="49"/>
    </row>
    <row r="2394" spans="1:5">
      <c r="A2394" s="49"/>
      <c r="B2394" s="49"/>
      <c r="C2394" s="49"/>
      <c r="D2394" s="49"/>
      <c r="E2394" s="49"/>
    </row>
    <row r="2395" spans="1:5">
      <c r="A2395" s="49"/>
      <c r="B2395" s="49"/>
      <c r="C2395" s="49"/>
      <c r="D2395" s="49"/>
      <c r="E2395" s="49"/>
    </row>
    <row r="2396" spans="1:5">
      <c r="A2396" s="49"/>
      <c r="B2396" s="49"/>
      <c r="C2396" s="49"/>
      <c r="D2396" s="49"/>
      <c r="E2396" s="49"/>
    </row>
    <row r="2397" spans="1:5">
      <c r="A2397" s="49"/>
      <c r="B2397" s="49"/>
      <c r="C2397" s="49"/>
      <c r="D2397" s="49"/>
      <c r="E2397" s="49"/>
    </row>
    <row r="2398" spans="1:5">
      <c r="A2398" s="49"/>
      <c r="B2398" s="49"/>
      <c r="C2398" s="49"/>
      <c r="D2398" s="49"/>
      <c r="E2398" s="49"/>
    </row>
    <row r="2399" spans="1:5">
      <c r="A2399" s="49"/>
      <c r="B2399" s="49"/>
      <c r="C2399" s="49"/>
      <c r="D2399" s="49"/>
      <c r="E2399" s="49"/>
    </row>
    <row r="2400" spans="1:5">
      <c r="A2400" s="49"/>
      <c r="B2400" s="49"/>
      <c r="C2400" s="49"/>
      <c r="D2400" s="49"/>
      <c r="E2400" s="49"/>
    </row>
    <row r="2401" spans="1:5">
      <c r="A2401" s="49"/>
      <c r="B2401" s="49"/>
      <c r="C2401" s="49"/>
      <c r="D2401" s="49"/>
      <c r="E2401" s="49"/>
    </row>
    <row r="2402" spans="1:5">
      <c r="A2402" s="49"/>
      <c r="B2402" s="49"/>
      <c r="C2402" s="49"/>
      <c r="D2402" s="49"/>
      <c r="E2402" s="49"/>
    </row>
    <row r="2403" spans="1:5">
      <c r="A2403" s="49"/>
      <c r="B2403" s="49"/>
      <c r="C2403" s="49"/>
      <c r="D2403" s="49"/>
      <c r="E2403" s="49"/>
    </row>
    <row r="2404" spans="1:5">
      <c r="A2404" s="49"/>
      <c r="B2404" s="49"/>
      <c r="C2404" s="49"/>
      <c r="D2404" s="49"/>
      <c r="E2404" s="49"/>
    </row>
    <row r="2405" spans="1:5">
      <c r="A2405" s="49"/>
      <c r="B2405" s="49"/>
      <c r="C2405" s="49"/>
      <c r="D2405" s="49"/>
      <c r="E2405" s="49"/>
    </row>
    <row r="2406" spans="1:5">
      <c r="A2406" s="49"/>
      <c r="B2406" s="49"/>
      <c r="C2406" s="49"/>
      <c r="D2406" s="49"/>
      <c r="E2406" s="49"/>
    </row>
    <row r="2407" spans="1:5">
      <c r="A2407" s="49"/>
      <c r="B2407" s="49"/>
      <c r="C2407" s="49"/>
      <c r="D2407" s="49"/>
      <c r="E2407" s="49"/>
    </row>
    <row r="2408" spans="1:5">
      <c r="A2408" s="49"/>
      <c r="B2408" s="49"/>
      <c r="C2408" s="49"/>
      <c r="D2408" s="49"/>
      <c r="E2408" s="49"/>
    </row>
    <row r="2409" spans="1:5">
      <c r="A2409" s="49"/>
      <c r="B2409" s="49"/>
      <c r="C2409" s="49"/>
      <c r="D2409" s="49"/>
      <c r="E2409" s="49"/>
    </row>
    <row r="2410" spans="1:5">
      <c r="A2410" s="49"/>
      <c r="B2410" s="49"/>
      <c r="C2410" s="49"/>
      <c r="D2410" s="49"/>
      <c r="E2410" s="49"/>
    </row>
    <row r="2411" spans="1:5">
      <c r="A2411" s="49"/>
      <c r="B2411" s="49"/>
      <c r="C2411" s="49"/>
      <c r="D2411" s="49"/>
      <c r="E2411" s="49"/>
    </row>
    <row r="2412" spans="1:5">
      <c r="A2412" s="49"/>
      <c r="B2412" s="49"/>
      <c r="C2412" s="49"/>
      <c r="D2412" s="49"/>
      <c r="E2412" s="49"/>
    </row>
    <row r="2413" spans="1:5">
      <c r="A2413" s="49"/>
      <c r="B2413" s="49"/>
      <c r="C2413" s="49"/>
      <c r="D2413" s="49"/>
      <c r="E2413" s="49"/>
    </row>
    <row r="2414" spans="1:5">
      <c r="A2414" s="49"/>
      <c r="B2414" s="49"/>
      <c r="C2414" s="49"/>
      <c r="D2414" s="49"/>
      <c r="E2414" s="49"/>
    </row>
    <row r="2415" spans="1:5">
      <c r="A2415" s="49"/>
      <c r="B2415" s="49"/>
      <c r="C2415" s="49"/>
      <c r="D2415" s="49"/>
      <c r="E2415" s="49"/>
    </row>
    <row r="2416" spans="1:5">
      <c r="A2416" s="49"/>
      <c r="B2416" s="49"/>
      <c r="C2416" s="49"/>
      <c r="D2416" s="49"/>
      <c r="E2416" s="49"/>
    </row>
    <row r="2417" spans="1:5">
      <c r="A2417" s="49"/>
      <c r="B2417" s="49"/>
      <c r="C2417" s="49"/>
      <c r="D2417" s="49"/>
      <c r="E2417" s="49"/>
    </row>
    <row r="2418" spans="1:5">
      <c r="A2418" s="49"/>
      <c r="B2418" s="49"/>
      <c r="C2418" s="49"/>
      <c r="D2418" s="49"/>
      <c r="E2418" s="49"/>
    </row>
    <row r="2419" spans="1:5">
      <c r="A2419" s="49"/>
      <c r="B2419" s="49"/>
      <c r="C2419" s="49"/>
      <c r="D2419" s="49"/>
      <c r="E2419" s="49"/>
    </row>
    <row r="2420" spans="1:5">
      <c r="A2420" s="49"/>
      <c r="B2420" s="49"/>
      <c r="C2420" s="49"/>
      <c r="D2420" s="49"/>
      <c r="E2420" s="49"/>
    </row>
    <row r="2421" spans="1:5">
      <c r="A2421" s="49"/>
      <c r="B2421" s="49"/>
      <c r="C2421" s="49"/>
      <c r="D2421" s="49"/>
      <c r="E2421" s="49"/>
    </row>
    <row r="2422" spans="1:5">
      <c r="A2422" s="49"/>
      <c r="B2422" s="49"/>
      <c r="C2422" s="49"/>
      <c r="D2422" s="49"/>
      <c r="E2422" s="49"/>
    </row>
    <row r="2423" spans="1:5">
      <c r="A2423" s="49"/>
      <c r="B2423" s="49"/>
      <c r="C2423" s="49"/>
      <c r="D2423" s="49"/>
      <c r="E2423" s="49"/>
    </row>
    <row r="2424" spans="1:5">
      <c r="A2424" s="49"/>
      <c r="B2424" s="49"/>
      <c r="C2424" s="49"/>
      <c r="D2424" s="49"/>
      <c r="E2424" s="49"/>
    </row>
    <row r="2425" spans="1:5">
      <c r="A2425" s="49"/>
      <c r="B2425" s="49"/>
      <c r="C2425" s="49"/>
      <c r="D2425" s="49"/>
      <c r="E2425" s="49"/>
    </row>
    <row r="2426" spans="1:5">
      <c r="A2426" s="49"/>
      <c r="B2426" s="49"/>
      <c r="C2426" s="49"/>
      <c r="D2426" s="49"/>
      <c r="E2426" s="49"/>
    </row>
    <row r="2427" spans="1:5">
      <c r="A2427" s="49"/>
      <c r="B2427" s="49"/>
      <c r="C2427" s="49"/>
      <c r="D2427" s="49"/>
      <c r="E2427" s="49"/>
    </row>
    <row r="2428" spans="1:5">
      <c r="A2428" s="49"/>
      <c r="B2428" s="49"/>
      <c r="C2428" s="49"/>
      <c r="D2428" s="49"/>
      <c r="E2428" s="49"/>
    </row>
    <row r="2429" spans="1:5">
      <c r="A2429" s="49"/>
      <c r="B2429" s="49"/>
      <c r="C2429" s="49"/>
      <c r="D2429" s="49"/>
      <c r="E2429" s="49"/>
    </row>
    <row r="2430" spans="1:5">
      <c r="A2430" s="49"/>
      <c r="B2430" s="49"/>
      <c r="C2430" s="49"/>
      <c r="D2430" s="49"/>
      <c r="E2430" s="49"/>
    </row>
    <row r="2431" spans="1:5">
      <c r="A2431" s="49"/>
      <c r="B2431" s="49"/>
      <c r="C2431" s="49"/>
      <c r="D2431" s="49"/>
      <c r="E2431" s="49"/>
    </row>
    <row r="2432" spans="1:5">
      <c r="A2432" s="49"/>
      <c r="B2432" s="49"/>
      <c r="C2432" s="49"/>
      <c r="D2432" s="49"/>
      <c r="E2432" s="49"/>
    </row>
    <row r="2433" spans="1:5">
      <c r="A2433" s="49"/>
      <c r="B2433" s="49"/>
      <c r="C2433" s="49"/>
      <c r="D2433" s="49"/>
      <c r="E2433" s="49"/>
    </row>
    <row r="2434" spans="1:5">
      <c r="A2434" s="49"/>
      <c r="B2434" s="49"/>
      <c r="C2434" s="49"/>
      <c r="D2434" s="49"/>
      <c r="E2434" s="49"/>
    </row>
    <row r="2435" spans="1:5">
      <c r="A2435" s="49"/>
      <c r="B2435" s="49"/>
      <c r="C2435" s="49"/>
      <c r="D2435" s="49"/>
      <c r="E2435" s="49"/>
    </row>
    <row r="2436" spans="1:5">
      <c r="A2436" s="49"/>
      <c r="B2436" s="49"/>
      <c r="C2436" s="49"/>
      <c r="D2436" s="49"/>
      <c r="E2436" s="49"/>
    </row>
    <row r="2437" spans="1:5">
      <c r="A2437" s="49"/>
      <c r="B2437" s="49"/>
      <c r="C2437" s="49"/>
      <c r="D2437" s="49"/>
      <c r="E2437" s="49"/>
    </row>
    <row r="2438" spans="1:5">
      <c r="A2438" s="49"/>
      <c r="B2438" s="49"/>
      <c r="C2438" s="49"/>
      <c r="D2438" s="49"/>
      <c r="E2438" s="49"/>
    </row>
    <row r="2439" spans="1:5">
      <c r="A2439" s="49"/>
      <c r="B2439" s="49"/>
      <c r="C2439" s="49"/>
      <c r="D2439" s="49"/>
      <c r="E2439" s="49"/>
    </row>
    <row r="2440" spans="1:5">
      <c r="A2440" s="49"/>
      <c r="B2440" s="49"/>
      <c r="C2440" s="49"/>
      <c r="D2440" s="49"/>
      <c r="E2440" s="49"/>
    </row>
    <row r="2441" spans="1:5">
      <c r="A2441" s="49"/>
      <c r="B2441" s="49"/>
      <c r="C2441" s="49"/>
      <c r="D2441" s="49"/>
      <c r="E2441" s="49"/>
    </row>
    <row r="2442" spans="1:5">
      <c r="A2442" s="49"/>
      <c r="B2442" s="49"/>
      <c r="C2442" s="49"/>
      <c r="D2442" s="49"/>
      <c r="E2442" s="49"/>
    </row>
    <row r="2443" spans="1:5">
      <c r="A2443" s="49"/>
      <c r="B2443" s="49"/>
      <c r="C2443" s="49"/>
      <c r="D2443" s="49"/>
      <c r="E2443" s="49"/>
    </row>
    <row r="2444" spans="1:5">
      <c r="A2444" s="49"/>
      <c r="B2444" s="49"/>
      <c r="C2444" s="49"/>
      <c r="D2444" s="49"/>
      <c r="E2444" s="49"/>
    </row>
    <row r="2445" spans="1:5">
      <c r="A2445" s="49"/>
      <c r="B2445" s="49"/>
      <c r="C2445" s="49"/>
      <c r="D2445" s="49"/>
      <c r="E2445" s="49"/>
    </row>
    <row r="2446" spans="1:5">
      <c r="A2446" s="49"/>
      <c r="B2446" s="49"/>
      <c r="C2446" s="49"/>
      <c r="D2446" s="49"/>
      <c r="E2446" s="49"/>
    </row>
    <row r="2447" spans="1:5">
      <c r="A2447" s="49"/>
      <c r="B2447" s="49"/>
      <c r="C2447" s="49"/>
      <c r="D2447" s="49"/>
      <c r="E2447" s="49"/>
    </row>
    <row r="2448" spans="1:5">
      <c r="A2448" s="49"/>
      <c r="B2448" s="49"/>
      <c r="C2448" s="49"/>
      <c r="D2448" s="49"/>
      <c r="E2448" s="49"/>
    </row>
    <row r="2449" spans="1:5">
      <c r="A2449" s="49"/>
      <c r="B2449" s="49"/>
      <c r="C2449" s="49"/>
      <c r="D2449" s="49"/>
      <c r="E2449" s="49"/>
    </row>
    <row r="2450" spans="1:5">
      <c r="A2450" s="49"/>
      <c r="B2450" s="49"/>
      <c r="C2450" s="49"/>
      <c r="D2450" s="49"/>
      <c r="E2450" s="49"/>
    </row>
    <row r="2451" spans="1:5">
      <c r="A2451" s="49"/>
      <c r="B2451" s="49"/>
      <c r="C2451" s="49"/>
      <c r="D2451" s="49"/>
      <c r="E2451" s="49"/>
    </row>
    <row r="2452" spans="1:5">
      <c r="A2452" s="49"/>
      <c r="B2452" s="49"/>
      <c r="C2452" s="49"/>
      <c r="D2452" s="49"/>
      <c r="E2452" s="49"/>
    </row>
    <row r="2453" spans="1:5">
      <c r="A2453" s="49"/>
      <c r="B2453" s="49"/>
      <c r="C2453" s="49"/>
      <c r="D2453" s="49"/>
      <c r="E2453" s="49"/>
    </row>
    <row r="2454" spans="1:5">
      <c r="A2454" s="49"/>
      <c r="B2454" s="49"/>
      <c r="C2454" s="49"/>
      <c r="D2454" s="49"/>
      <c r="E2454" s="49"/>
    </row>
    <row r="2455" spans="1:5">
      <c r="A2455" s="49"/>
      <c r="B2455" s="49"/>
      <c r="C2455" s="49"/>
      <c r="D2455" s="49"/>
      <c r="E2455" s="49"/>
    </row>
    <row r="2456" spans="1:5">
      <c r="A2456" s="49"/>
      <c r="B2456" s="49"/>
      <c r="C2456" s="49"/>
      <c r="D2456" s="49"/>
      <c r="E2456" s="49"/>
    </row>
    <row r="2457" spans="1:5">
      <c r="A2457" s="49"/>
      <c r="B2457" s="49"/>
      <c r="C2457" s="49"/>
      <c r="D2457" s="49"/>
      <c r="E2457" s="49"/>
    </row>
    <row r="2458" spans="1:5">
      <c r="A2458" s="49"/>
      <c r="B2458" s="49"/>
      <c r="C2458" s="49"/>
      <c r="D2458" s="49"/>
      <c r="E2458" s="49"/>
    </row>
    <row r="2459" spans="1:5">
      <c r="A2459" s="49"/>
      <c r="B2459" s="49"/>
      <c r="C2459" s="49"/>
      <c r="D2459" s="49"/>
      <c r="E2459" s="49"/>
    </row>
    <row r="2460" spans="1:5">
      <c r="A2460" s="49"/>
      <c r="B2460" s="49"/>
      <c r="C2460" s="49"/>
      <c r="D2460" s="49"/>
      <c r="E2460" s="49"/>
    </row>
    <row r="2461" spans="1:5">
      <c r="A2461" s="49"/>
      <c r="B2461" s="49"/>
      <c r="C2461" s="49"/>
      <c r="D2461" s="49"/>
      <c r="E2461" s="49"/>
    </row>
    <row r="2462" spans="1:5">
      <c r="A2462" s="49"/>
      <c r="B2462" s="49"/>
      <c r="C2462" s="49"/>
      <c r="D2462" s="49"/>
      <c r="E2462" s="49"/>
    </row>
    <row r="2463" spans="1:5">
      <c r="A2463" s="49"/>
      <c r="B2463" s="49"/>
      <c r="C2463" s="49"/>
      <c r="D2463" s="49"/>
      <c r="E2463" s="49"/>
    </row>
    <row r="2464" spans="1:5">
      <c r="A2464" s="49"/>
      <c r="B2464" s="49"/>
      <c r="C2464" s="49"/>
      <c r="D2464" s="49"/>
      <c r="E2464" s="49"/>
    </row>
    <row r="2465" spans="1:5">
      <c r="A2465" s="49"/>
      <c r="B2465" s="49"/>
      <c r="C2465" s="49"/>
      <c r="D2465" s="49"/>
      <c r="E2465" s="49"/>
    </row>
    <row r="2466" spans="1:5">
      <c r="A2466" s="49"/>
      <c r="B2466" s="49"/>
      <c r="C2466" s="49"/>
      <c r="D2466" s="49"/>
      <c r="E2466" s="49"/>
    </row>
    <row r="2467" spans="1:5">
      <c r="A2467" s="49"/>
      <c r="B2467" s="49"/>
      <c r="C2467" s="49"/>
      <c r="D2467" s="49"/>
      <c r="E2467" s="49"/>
    </row>
    <row r="2468" spans="1:5">
      <c r="A2468" s="49"/>
      <c r="B2468" s="49"/>
      <c r="C2468" s="49"/>
      <c r="D2468" s="49"/>
      <c r="E2468" s="49"/>
    </row>
    <row r="2469" spans="1:5">
      <c r="A2469" s="49"/>
      <c r="B2469" s="49"/>
      <c r="C2469" s="49"/>
      <c r="D2469" s="49"/>
      <c r="E2469" s="49"/>
    </row>
    <row r="2470" spans="1:5">
      <c r="A2470" s="49"/>
      <c r="B2470" s="49"/>
      <c r="C2470" s="49"/>
      <c r="D2470" s="49"/>
      <c r="E2470" s="49"/>
    </row>
    <row r="2471" spans="1:5">
      <c r="A2471" s="49"/>
      <c r="B2471" s="49"/>
      <c r="C2471" s="49"/>
      <c r="D2471" s="49"/>
      <c r="E2471" s="49"/>
    </row>
    <row r="2472" spans="1:5">
      <c r="A2472" s="49"/>
      <c r="B2472" s="49"/>
      <c r="C2472" s="49"/>
      <c r="D2472" s="49"/>
      <c r="E2472" s="49"/>
    </row>
    <row r="2473" spans="1:5">
      <c r="A2473" s="49"/>
      <c r="B2473" s="49"/>
      <c r="C2473" s="49"/>
      <c r="D2473" s="49"/>
      <c r="E2473" s="49"/>
    </row>
    <row r="2474" spans="1:5">
      <c r="A2474" s="49"/>
      <c r="B2474" s="49"/>
      <c r="C2474" s="49"/>
      <c r="D2474" s="49"/>
      <c r="E2474" s="49"/>
    </row>
    <row r="2475" spans="1:5">
      <c r="A2475" s="49"/>
      <c r="B2475" s="49"/>
      <c r="C2475" s="49"/>
      <c r="D2475" s="49"/>
      <c r="E2475" s="49"/>
    </row>
    <row r="2476" spans="1:5">
      <c r="A2476" s="49"/>
      <c r="B2476" s="49"/>
      <c r="C2476" s="49"/>
      <c r="D2476" s="49"/>
      <c r="E2476" s="49"/>
    </row>
    <row r="2477" spans="1:5">
      <c r="A2477" s="49"/>
      <c r="B2477" s="49"/>
      <c r="C2477" s="49"/>
      <c r="D2477" s="49"/>
      <c r="E2477" s="49"/>
    </row>
    <row r="2478" spans="1:5">
      <c r="A2478" s="49"/>
      <c r="B2478" s="49"/>
      <c r="C2478" s="49"/>
      <c r="D2478" s="49"/>
      <c r="E2478" s="49"/>
    </row>
    <row r="2479" spans="1:5">
      <c r="A2479" s="49"/>
      <c r="B2479" s="49"/>
      <c r="C2479" s="49"/>
      <c r="D2479" s="49"/>
      <c r="E2479" s="49"/>
    </row>
    <row r="2480" spans="1:5">
      <c r="A2480" s="49"/>
      <c r="B2480" s="49"/>
      <c r="C2480" s="49"/>
      <c r="D2480" s="49"/>
      <c r="E2480" s="49"/>
    </row>
    <row r="2481" spans="1:5">
      <c r="A2481" s="49"/>
      <c r="B2481" s="49"/>
      <c r="C2481" s="49"/>
      <c r="D2481" s="49"/>
      <c r="E2481" s="49"/>
    </row>
    <row r="2482" spans="1:5">
      <c r="A2482" s="49"/>
      <c r="B2482" s="49"/>
      <c r="C2482" s="49"/>
      <c r="D2482" s="49"/>
      <c r="E2482" s="49"/>
    </row>
    <row r="2483" spans="1:5">
      <c r="A2483" s="49"/>
      <c r="B2483" s="49"/>
      <c r="C2483" s="49"/>
      <c r="D2483" s="49"/>
      <c r="E2483" s="49"/>
    </row>
    <row r="2484" spans="1:5">
      <c r="A2484" s="49"/>
      <c r="B2484" s="49"/>
      <c r="C2484" s="49"/>
      <c r="D2484" s="49"/>
      <c r="E2484" s="49"/>
    </row>
    <row r="2485" spans="1:5">
      <c r="A2485" s="49"/>
      <c r="B2485" s="49"/>
      <c r="C2485" s="49"/>
      <c r="D2485" s="49"/>
      <c r="E2485" s="49"/>
    </row>
    <row r="2486" spans="1:5">
      <c r="A2486" s="49"/>
      <c r="B2486" s="49"/>
      <c r="C2486" s="49"/>
      <c r="D2486" s="49"/>
      <c r="E2486" s="49"/>
    </row>
    <row r="2487" spans="1:5">
      <c r="A2487" s="49"/>
      <c r="B2487" s="49"/>
      <c r="C2487" s="49"/>
      <c r="D2487" s="49"/>
      <c r="E2487" s="49"/>
    </row>
    <row r="2488" spans="1:5">
      <c r="A2488" s="49"/>
      <c r="B2488" s="49"/>
      <c r="C2488" s="49"/>
      <c r="D2488" s="49"/>
      <c r="E2488" s="49"/>
    </row>
    <row r="2489" spans="1:5">
      <c r="A2489" s="49"/>
      <c r="B2489" s="49"/>
      <c r="C2489" s="49"/>
      <c r="D2489" s="49"/>
      <c r="E2489" s="49"/>
    </row>
    <row r="2490" spans="1:5">
      <c r="A2490" s="49"/>
      <c r="B2490" s="49"/>
      <c r="C2490" s="49"/>
      <c r="D2490" s="49"/>
      <c r="E2490" s="49"/>
    </row>
    <row r="2491" spans="1:5">
      <c r="A2491" s="49"/>
      <c r="B2491" s="49"/>
      <c r="C2491" s="49"/>
      <c r="D2491" s="49"/>
      <c r="E2491" s="49"/>
    </row>
    <row r="2492" spans="1:5">
      <c r="A2492" s="49"/>
      <c r="B2492" s="49"/>
      <c r="C2492" s="49"/>
      <c r="D2492" s="49"/>
      <c r="E2492" s="49"/>
    </row>
    <row r="2493" spans="1:5">
      <c r="A2493" s="49"/>
      <c r="B2493" s="49"/>
      <c r="C2493" s="49"/>
      <c r="D2493" s="49"/>
      <c r="E2493" s="49"/>
    </row>
    <row r="2494" spans="1:5">
      <c r="A2494" s="49"/>
      <c r="B2494" s="49"/>
      <c r="C2494" s="49"/>
      <c r="D2494" s="49"/>
      <c r="E2494" s="49"/>
    </row>
    <row r="2495" spans="1:5">
      <c r="A2495" s="49"/>
      <c r="B2495" s="49"/>
      <c r="C2495" s="49"/>
      <c r="D2495" s="49"/>
      <c r="E2495" s="49"/>
    </row>
    <row r="2496" spans="1:5">
      <c r="A2496" s="49"/>
      <c r="B2496" s="49"/>
      <c r="C2496" s="49"/>
      <c r="D2496" s="49"/>
      <c r="E2496" s="49"/>
    </row>
    <row r="2497" spans="1:5">
      <c r="A2497" s="49"/>
      <c r="B2497" s="49"/>
      <c r="C2497" s="49"/>
      <c r="D2497" s="49"/>
      <c r="E2497" s="49"/>
    </row>
    <row r="2498" spans="1:5">
      <c r="A2498" s="49"/>
      <c r="B2498" s="49"/>
      <c r="C2498" s="49"/>
      <c r="D2498" s="49"/>
      <c r="E2498" s="49"/>
    </row>
    <row r="2499" spans="1:5">
      <c r="A2499" s="49"/>
      <c r="B2499" s="49"/>
      <c r="C2499" s="49"/>
      <c r="D2499" s="49"/>
      <c r="E2499" s="49"/>
    </row>
    <row r="2500" spans="1:5">
      <c r="A2500" s="49"/>
      <c r="B2500" s="49"/>
      <c r="C2500" s="49"/>
      <c r="D2500" s="49"/>
      <c r="E2500" s="49"/>
    </row>
    <row r="2501" spans="1:5">
      <c r="A2501" s="49"/>
      <c r="B2501" s="49"/>
      <c r="C2501" s="49"/>
      <c r="D2501" s="49"/>
      <c r="E2501" s="49"/>
    </row>
    <row r="2502" spans="1:5">
      <c r="A2502" s="49"/>
      <c r="B2502" s="49"/>
      <c r="C2502" s="49"/>
      <c r="D2502" s="49"/>
      <c r="E2502" s="49"/>
    </row>
    <row r="2503" spans="1:5">
      <c r="A2503" s="49"/>
      <c r="B2503" s="49"/>
      <c r="C2503" s="49"/>
      <c r="D2503" s="49"/>
      <c r="E2503" s="49"/>
    </row>
    <row r="2504" spans="1:5">
      <c r="A2504" s="49"/>
      <c r="B2504" s="49"/>
      <c r="C2504" s="49"/>
      <c r="D2504" s="49"/>
      <c r="E2504" s="49"/>
    </row>
    <row r="2505" spans="1:5">
      <c r="A2505" s="49"/>
      <c r="B2505" s="49"/>
      <c r="C2505" s="49"/>
      <c r="D2505" s="49"/>
      <c r="E2505" s="49"/>
    </row>
    <row r="2506" spans="1:5">
      <c r="A2506" s="49"/>
      <c r="B2506" s="49"/>
      <c r="C2506" s="49"/>
      <c r="D2506" s="49"/>
      <c r="E2506" s="49"/>
    </row>
    <row r="2507" spans="1:5">
      <c r="A2507" s="49"/>
      <c r="B2507" s="49"/>
      <c r="C2507" s="49"/>
      <c r="D2507" s="49"/>
      <c r="E2507" s="49"/>
    </row>
    <row r="2508" spans="1:5">
      <c r="A2508" s="49"/>
      <c r="B2508" s="49"/>
      <c r="C2508" s="49"/>
      <c r="D2508" s="49"/>
      <c r="E2508" s="49"/>
    </row>
    <row r="2509" spans="1:5">
      <c r="A2509" s="49"/>
      <c r="B2509" s="49"/>
      <c r="C2509" s="49"/>
      <c r="D2509" s="49"/>
      <c r="E2509" s="49"/>
    </row>
    <row r="2510" spans="1:5">
      <c r="A2510" s="49"/>
      <c r="B2510" s="49"/>
      <c r="C2510" s="49"/>
      <c r="D2510" s="49"/>
      <c r="E2510" s="49"/>
    </row>
    <row r="2511" spans="1:5">
      <c r="A2511" s="49"/>
      <c r="B2511" s="49"/>
      <c r="C2511" s="49"/>
      <c r="D2511" s="49"/>
      <c r="E2511" s="49"/>
    </row>
    <row r="2512" spans="1:5">
      <c r="A2512" s="49"/>
      <c r="B2512" s="49"/>
      <c r="C2512" s="49"/>
      <c r="D2512" s="49"/>
      <c r="E2512" s="49"/>
    </row>
    <row r="2513" spans="1:5">
      <c r="A2513" s="49"/>
      <c r="B2513" s="49"/>
      <c r="C2513" s="49"/>
      <c r="D2513" s="49"/>
      <c r="E2513" s="49"/>
    </row>
    <row r="2514" spans="1:5">
      <c r="A2514" s="49"/>
      <c r="B2514" s="49"/>
      <c r="C2514" s="49"/>
      <c r="D2514" s="49"/>
      <c r="E2514" s="49"/>
    </row>
    <row r="2515" spans="1:5">
      <c r="A2515" s="49"/>
      <c r="B2515" s="49"/>
      <c r="C2515" s="49"/>
      <c r="D2515" s="49"/>
      <c r="E2515" s="49"/>
    </row>
    <row r="2516" spans="1:5">
      <c r="A2516" s="49"/>
      <c r="B2516" s="49"/>
      <c r="C2516" s="49"/>
      <c r="D2516" s="49"/>
      <c r="E2516" s="49"/>
    </row>
    <row r="2517" spans="1:5">
      <c r="A2517" s="49"/>
      <c r="B2517" s="49"/>
      <c r="C2517" s="49"/>
      <c r="D2517" s="49"/>
      <c r="E2517" s="49"/>
    </row>
    <row r="2518" spans="1:5">
      <c r="A2518" s="49"/>
      <c r="B2518" s="49"/>
      <c r="C2518" s="49"/>
      <c r="D2518" s="49"/>
      <c r="E2518" s="49"/>
    </row>
    <row r="2519" spans="1:5">
      <c r="A2519" s="49"/>
      <c r="B2519" s="49"/>
      <c r="C2519" s="49"/>
      <c r="D2519" s="49"/>
      <c r="E2519" s="49"/>
    </row>
    <row r="2520" spans="1:5">
      <c r="A2520" s="49"/>
      <c r="B2520" s="49"/>
      <c r="C2520" s="49"/>
      <c r="D2520" s="49"/>
      <c r="E2520" s="49"/>
    </row>
    <row r="2521" spans="1:5">
      <c r="A2521" s="49"/>
      <c r="B2521" s="49"/>
      <c r="C2521" s="49"/>
      <c r="D2521" s="49"/>
      <c r="E2521" s="49"/>
    </row>
    <row r="2522" spans="1:5">
      <c r="A2522" s="49"/>
      <c r="B2522" s="49"/>
      <c r="C2522" s="49"/>
      <c r="D2522" s="49"/>
      <c r="E2522" s="49"/>
    </row>
    <row r="2523" spans="1:5">
      <c r="A2523" s="49"/>
      <c r="B2523" s="49"/>
      <c r="C2523" s="49"/>
      <c r="D2523" s="49"/>
      <c r="E2523" s="49"/>
    </row>
    <row r="2524" spans="1:5">
      <c r="A2524" s="49"/>
      <c r="B2524" s="49"/>
      <c r="C2524" s="49"/>
      <c r="D2524" s="49"/>
      <c r="E2524" s="49"/>
    </row>
    <row r="2525" spans="1:5">
      <c r="A2525" s="49"/>
      <c r="B2525" s="49"/>
      <c r="C2525" s="49"/>
      <c r="D2525" s="49"/>
      <c r="E2525" s="49"/>
    </row>
    <row r="2526" spans="1:5">
      <c r="A2526" s="49"/>
      <c r="B2526" s="49"/>
      <c r="C2526" s="49"/>
      <c r="D2526" s="49"/>
      <c r="E2526" s="49"/>
    </row>
    <row r="2527" spans="1:5">
      <c r="A2527" s="49"/>
      <c r="B2527" s="49"/>
      <c r="C2527" s="49"/>
      <c r="D2527" s="49"/>
      <c r="E2527" s="49"/>
    </row>
    <row r="2528" spans="1:5">
      <c r="A2528" s="49"/>
      <c r="B2528" s="49"/>
      <c r="C2528" s="49"/>
      <c r="D2528" s="49"/>
      <c r="E2528" s="49"/>
    </row>
    <row r="2529" spans="1:5">
      <c r="A2529" s="49"/>
      <c r="B2529" s="49"/>
      <c r="C2529" s="49"/>
      <c r="D2529" s="49"/>
      <c r="E2529" s="49"/>
    </row>
    <row r="2530" spans="1:5">
      <c r="A2530" s="49"/>
      <c r="B2530" s="49"/>
      <c r="C2530" s="49"/>
      <c r="D2530" s="49"/>
      <c r="E2530" s="49"/>
    </row>
    <row r="2531" spans="1:5">
      <c r="A2531" s="49"/>
      <c r="B2531" s="49"/>
      <c r="C2531" s="49"/>
      <c r="D2531" s="49"/>
      <c r="E2531" s="49"/>
    </row>
    <row r="2532" spans="1:5">
      <c r="A2532" s="49"/>
      <c r="B2532" s="49"/>
      <c r="C2532" s="49"/>
      <c r="D2532" s="49"/>
      <c r="E2532" s="49"/>
    </row>
    <row r="2533" spans="1:5">
      <c r="A2533" s="49"/>
      <c r="B2533" s="49"/>
      <c r="C2533" s="49"/>
      <c r="D2533" s="49"/>
      <c r="E2533" s="49"/>
    </row>
    <row r="2534" spans="1:5">
      <c r="A2534" s="49"/>
      <c r="B2534" s="49"/>
      <c r="C2534" s="49"/>
      <c r="D2534" s="49"/>
      <c r="E2534" s="49"/>
    </row>
    <row r="2535" spans="1:5">
      <c r="A2535" s="49"/>
      <c r="B2535" s="49"/>
      <c r="C2535" s="49"/>
      <c r="D2535" s="49"/>
      <c r="E2535" s="49"/>
    </row>
    <row r="2536" spans="1:5">
      <c r="A2536" s="49"/>
      <c r="B2536" s="49"/>
      <c r="C2536" s="49"/>
      <c r="D2536" s="49"/>
      <c r="E2536" s="49"/>
    </row>
    <row r="2537" spans="1:5">
      <c r="A2537" s="49"/>
      <c r="B2537" s="49"/>
      <c r="C2537" s="49"/>
      <c r="D2537" s="49"/>
      <c r="E2537" s="49"/>
    </row>
    <row r="2538" spans="1:5">
      <c r="A2538" s="49"/>
      <c r="B2538" s="49"/>
      <c r="C2538" s="49"/>
      <c r="D2538" s="49"/>
      <c r="E2538" s="49"/>
    </row>
    <row r="2539" spans="1:5">
      <c r="A2539" s="49"/>
      <c r="B2539" s="49"/>
      <c r="C2539" s="49"/>
      <c r="D2539" s="49"/>
      <c r="E2539" s="49"/>
    </row>
    <row r="2540" spans="1:5">
      <c r="A2540" s="49"/>
      <c r="B2540" s="49"/>
      <c r="C2540" s="49"/>
      <c r="D2540" s="49"/>
      <c r="E2540" s="49"/>
    </row>
    <row r="2541" spans="1:5">
      <c r="A2541" s="49"/>
      <c r="B2541" s="49"/>
      <c r="C2541" s="49"/>
      <c r="D2541" s="49"/>
      <c r="E2541" s="49"/>
    </row>
    <row r="2542" spans="1:5">
      <c r="A2542" s="49"/>
      <c r="B2542" s="49"/>
      <c r="C2542" s="49"/>
      <c r="D2542" s="49"/>
      <c r="E2542" s="49"/>
    </row>
    <row r="2543" spans="1:5">
      <c r="A2543" s="49"/>
      <c r="B2543" s="49"/>
      <c r="C2543" s="49"/>
      <c r="D2543" s="49"/>
      <c r="E2543" s="49"/>
    </row>
    <row r="2544" spans="1:5">
      <c r="A2544" s="49"/>
      <c r="B2544" s="49"/>
      <c r="C2544" s="49"/>
      <c r="D2544" s="49"/>
      <c r="E2544" s="49"/>
    </row>
    <row r="2545" spans="1:5">
      <c r="A2545" s="49"/>
      <c r="B2545" s="49"/>
      <c r="C2545" s="49"/>
      <c r="D2545" s="49"/>
      <c r="E2545" s="49"/>
    </row>
    <row r="2546" spans="1:5">
      <c r="A2546" s="49"/>
      <c r="B2546" s="49"/>
      <c r="C2546" s="49"/>
      <c r="D2546" s="49"/>
      <c r="E2546" s="49"/>
    </row>
    <row r="2547" spans="1:5">
      <c r="A2547" s="49"/>
      <c r="B2547" s="49"/>
      <c r="C2547" s="49"/>
      <c r="D2547" s="49"/>
      <c r="E2547" s="49"/>
    </row>
    <row r="2548" spans="1:5">
      <c r="A2548" s="49"/>
      <c r="B2548" s="49"/>
      <c r="C2548" s="49"/>
      <c r="D2548" s="49"/>
      <c r="E2548" s="49"/>
    </row>
    <row r="2549" spans="1:5">
      <c r="A2549" s="49"/>
      <c r="B2549" s="49"/>
      <c r="C2549" s="49"/>
      <c r="D2549" s="49"/>
      <c r="E2549" s="49"/>
    </row>
    <row r="2550" spans="1:5">
      <c r="A2550" s="49"/>
      <c r="B2550" s="49"/>
      <c r="C2550" s="49"/>
      <c r="D2550" s="49"/>
      <c r="E2550" s="49"/>
    </row>
    <row r="2551" spans="1:5">
      <c r="A2551" s="49"/>
      <c r="B2551" s="49"/>
      <c r="C2551" s="49"/>
      <c r="D2551" s="49"/>
      <c r="E2551" s="49"/>
    </row>
    <row r="2552" spans="1:5">
      <c r="A2552" s="49"/>
      <c r="B2552" s="49"/>
      <c r="C2552" s="49"/>
      <c r="D2552" s="49"/>
      <c r="E2552" s="49"/>
    </row>
    <row r="2553" spans="1:5">
      <c r="A2553" s="49"/>
      <c r="B2553" s="49"/>
      <c r="C2553" s="49"/>
      <c r="D2553" s="49"/>
      <c r="E2553" s="49"/>
    </row>
    <row r="2554" spans="1:5">
      <c r="A2554" s="49"/>
      <c r="B2554" s="49"/>
      <c r="C2554" s="49"/>
      <c r="D2554" s="49"/>
      <c r="E2554" s="49"/>
    </row>
    <row r="2555" spans="1:5">
      <c r="A2555" s="49"/>
      <c r="B2555" s="49"/>
      <c r="C2555" s="49"/>
      <c r="D2555" s="49"/>
      <c r="E2555" s="49"/>
    </row>
    <row r="2556" spans="1:5">
      <c r="A2556" s="49"/>
      <c r="B2556" s="49"/>
      <c r="C2556" s="49"/>
      <c r="D2556" s="49"/>
      <c r="E2556" s="49"/>
    </row>
    <row r="2557" spans="1:5">
      <c r="A2557" s="49"/>
      <c r="B2557" s="49"/>
      <c r="C2557" s="49"/>
      <c r="D2557" s="49"/>
      <c r="E2557" s="49"/>
    </row>
    <row r="2558" spans="1:5">
      <c r="A2558" s="49"/>
      <c r="B2558" s="49"/>
      <c r="C2558" s="49"/>
      <c r="D2558" s="49"/>
      <c r="E2558" s="49"/>
    </row>
    <row r="2559" spans="1:5">
      <c r="A2559" s="49"/>
      <c r="B2559" s="49"/>
      <c r="C2559" s="49"/>
      <c r="D2559" s="49"/>
      <c r="E2559" s="49"/>
    </row>
    <row r="2560" spans="1:5">
      <c r="A2560" s="49"/>
      <c r="B2560" s="49"/>
      <c r="C2560" s="49"/>
      <c r="D2560" s="49"/>
      <c r="E2560" s="49"/>
    </row>
    <row r="2561" spans="1:5">
      <c r="A2561" s="49"/>
      <c r="B2561" s="49"/>
      <c r="C2561" s="49"/>
      <c r="D2561" s="49"/>
      <c r="E2561" s="49"/>
    </row>
    <row r="2562" spans="1:5">
      <c r="A2562" s="49"/>
      <c r="B2562" s="49"/>
      <c r="C2562" s="49"/>
      <c r="D2562" s="49"/>
      <c r="E2562" s="49"/>
    </row>
    <row r="2563" spans="1:5">
      <c r="A2563" s="49"/>
      <c r="B2563" s="49"/>
      <c r="C2563" s="49"/>
      <c r="D2563" s="49"/>
      <c r="E2563" s="49"/>
    </row>
    <row r="2564" spans="1:5">
      <c r="A2564" s="49"/>
      <c r="B2564" s="49"/>
      <c r="C2564" s="49"/>
      <c r="D2564" s="49"/>
      <c r="E2564" s="49"/>
    </row>
    <row r="2565" spans="1:5">
      <c r="A2565" s="49"/>
      <c r="B2565" s="49"/>
      <c r="C2565" s="49"/>
      <c r="D2565" s="49"/>
      <c r="E2565" s="49"/>
    </row>
    <row r="2566" spans="1:5">
      <c r="A2566" s="49"/>
      <c r="B2566" s="49"/>
      <c r="C2566" s="49"/>
      <c r="D2566" s="49"/>
      <c r="E2566" s="49"/>
    </row>
    <row r="2567" spans="1:5">
      <c r="A2567" s="49"/>
      <c r="B2567" s="49"/>
      <c r="C2567" s="49"/>
      <c r="D2567" s="49"/>
      <c r="E2567" s="49"/>
    </row>
    <row r="2568" spans="1:5">
      <c r="A2568" s="49"/>
      <c r="B2568" s="49"/>
      <c r="C2568" s="49"/>
      <c r="D2568" s="49"/>
      <c r="E2568" s="49"/>
    </row>
    <row r="2569" spans="1:5">
      <c r="A2569" s="49"/>
      <c r="B2569" s="49"/>
      <c r="C2569" s="49"/>
      <c r="D2569" s="49"/>
      <c r="E2569" s="49"/>
    </row>
    <row r="2570" spans="1:5">
      <c r="A2570" s="49"/>
      <c r="B2570" s="49"/>
      <c r="C2570" s="49"/>
      <c r="D2570" s="49"/>
      <c r="E2570" s="49"/>
    </row>
    <row r="2571" spans="1:5">
      <c r="A2571" s="49"/>
      <c r="B2571" s="49"/>
      <c r="C2571" s="49"/>
      <c r="D2571" s="49"/>
      <c r="E2571" s="49"/>
    </row>
    <row r="2572" spans="1:5">
      <c r="A2572" s="49"/>
      <c r="B2572" s="49"/>
      <c r="C2572" s="49"/>
      <c r="D2572" s="49"/>
      <c r="E2572" s="49"/>
    </row>
    <row r="2573" spans="1:5">
      <c r="A2573" s="49"/>
      <c r="B2573" s="49"/>
      <c r="C2573" s="49"/>
      <c r="D2573" s="49"/>
      <c r="E2573" s="49"/>
    </row>
    <row r="2574" spans="1:5">
      <c r="A2574" s="49"/>
      <c r="B2574" s="49"/>
      <c r="C2574" s="49"/>
      <c r="D2574" s="49"/>
      <c r="E2574" s="49"/>
    </row>
    <row r="2575" spans="1:5">
      <c r="A2575" s="49"/>
      <c r="B2575" s="49"/>
      <c r="C2575" s="49"/>
      <c r="D2575" s="49"/>
      <c r="E2575" s="49"/>
    </row>
    <row r="2576" spans="1:5">
      <c r="A2576" s="49"/>
      <c r="B2576" s="49"/>
      <c r="C2576" s="49"/>
      <c r="D2576" s="49"/>
      <c r="E2576" s="49"/>
    </row>
    <row r="2577" spans="1:5">
      <c r="A2577" s="49"/>
      <c r="B2577" s="49"/>
      <c r="C2577" s="49"/>
      <c r="D2577" s="49"/>
      <c r="E2577" s="49"/>
    </row>
    <row r="2578" spans="1:5">
      <c r="A2578" s="49"/>
      <c r="B2578" s="49"/>
      <c r="C2578" s="49"/>
      <c r="D2578" s="49"/>
      <c r="E2578" s="49"/>
    </row>
    <row r="2579" spans="1:5">
      <c r="A2579" s="49"/>
      <c r="B2579" s="49"/>
      <c r="C2579" s="49"/>
      <c r="D2579" s="49"/>
      <c r="E2579" s="49"/>
    </row>
    <row r="2580" spans="1:5">
      <c r="A2580" s="49"/>
      <c r="B2580" s="49"/>
      <c r="C2580" s="49"/>
      <c r="D2580" s="49"/>
      <c r="E2580" s="49"/>
    </row>
    <row r="2581" spans="1:5">
      <c r="A2581" s="49"/>
      <c r="B2581" s="49"/>
      <c r="C2581" s="49"/>
      <c r="D2581" s="49"/>
      <c r="E2581" s="49"/>
    </row>
    <row r="2582" spans="1:5">
      <c r="A2582" s="49"/>
      <c r="B2582" s="49"/>
      <c r="C2582" s="49"/>
      <c r="D2582" s="49"/>
      <c r="E2582" s="49"/>
    </row>
    <row r="2583" spans="1:5">
      <c r="A2583" s="49"/>
      <c r="B2583" s="49"/>
      <c r="C2583" s="49"/>
      <c r="D2583" s="49"/>
      <c r="E2583" s="49"/>
    </row>
    <row r="2584" spans="1:5">
      <c r="A2584" s="49"/>
      <c r="B2584" s="49"/>
      <c r="C2584" s="49"/>
      <c r="D2584" s="49"/>
      <c r="E2584" s="49"/>
    </row>
    <row r="2585" spans="1:5">
      <c r="A2585" s="49"/>
      <c r="B2585" s="49"/>
      <c r="C2585" s="49"/>
      <c r="D2585" s="49"/>
      <c r="E2585" s="49"/>
    </row>
    <row r="2586" spans="1:5">
      <c r="A2586" s="49"/>
      <c r="B2586" s="49"/>
      <c r="C2586" s="49"/>
      <c r="D2586" s="49"/>
      <c r="E2586" s="49"/>
    </row>
    <row r="2587" spans="1:5">
      <c r="A2587" s="49"/>
      <c r="B2587" s="49"/>
      <c r="C2587" s="49"/>
      <c r="D2587" s="49"/>
      <c r="E2587" s="49"/>
    </row>
    <row r="2588" spans="1:5">
      <c r="A2588" s="49"/>
      <c r="B2588" s="49"/>
      <c r="C2588" s="49"/>
      <c r="D2588" s="49"/>
      <c r="E2588" s="49"/>
    </row>
    <row r="2589" spans="1:5">
      <c r="A2589" s="49"/>
      <c r="B2589" s="49"/>
      <c r="C2589" s="49"/>
      <c r="D2589" s="49"/>
      <c r="E2589" s="49"/>
    </row>
    <row r="2590" spans="1:5">
      <c r="A2590" s="49"/>
      <c r="B2590" s="49"/>
      <c r="C2590" s="49"/>
      <c r="D2590" s="49"/>
      <c r="E2590" s="49"/>
    </row>
    <row r="2591" spans="1:5">
      <c r="A2591" s="49"/>
      <c r="B2591" s="49"/>
      <c r="C2591" s="49"/>
      <c r="D2591" s="49"/>
      <c r="E2591" s="49"/>
    </row>
    <row r="2592" spans="1:5">
      <c r="A2592" s="49"/>
      <c r="B2592" s="49"/>
      <c r="C2592" s="49"/>
      <c r="D2592" s="49"/>
      <c r="E2592" s="49"/>
    </row>
    <row r="2593" spans="1:5">
      <c r="A2593" s="49"/>
      <c r="B2593" s="49"/>
      <c r="C2593" s="49"/>
      <c r="D2593" s="49"/>
      <c r="E2593" s="49"/>
    </row>
    <row r="2594" spans="1:5">
      <c r="A2594" s="49"/>
      <c r="B2594" s="49"/>
      <c r="C2594" s="49"/>
      <c r="D2594" s="49"/>
      <c r="E2594" s="49"/>
    </row>
    <row r="2595" spans="1:5">
      <c r="A2595" s="49"/>
      <c r="B2595" s="49"/>
      <c r="C2595" s="49"/>
      <c r="D2595" s="49"/>
      <c r="E2595" s="49"/>
    </row>
    <row r="2596" spans="1:5">
      <c r="A2596" s="49"/>
      <c r="B2596" s="49"/>
      <c r="C2596" s="49"/>
      <c r="D2596" s="49"/>
      <c r="E2596" s="49"/>
    </row>
    <row r="2597" spans="1:5">
      <c r="A2597" s="49"/>
      <c r="B2597" s="49"/>
      <c r="C2597" s="49"/>
      <c r="D2597" s="49"/>
      <c r="E2597" s="49"/>
    </row>
    <row r="2598" spans="1:5">
      <c r="A2598" s="49"/>
      <c r="B2598" s="49"/>
      <c r="C2598" s="49"/>
      <c r="D2598" s="49"/>
      <c r="E2598" s="49"/>
    </row>
    <row r="2599" spans="1:5">
      <c r="A2599" s="49"/>
      <c r="B2599" s="49"/>
      <c r="C2599" s="49"/>
      <c r="D2599" s="49"/>
      <c r="E2599" s="49"/>
    </row>
    <row r="2600" spans="1:5">
      <c r="A2600" s="49"/>
      <c r="B2600" s="49"/>
      <c r="C2600" s="49"/>
      <c r="D2600" s="49"/>
      <c r="E2600" s="49"/>
    </row>
    <row r="2601" spans="1:5">
      <c r="A2601" s="49"/>
      <c r="B2601" s="49"/>
      <c r="C2601" s="49"/>
      <c r="D2601" s="49"/>
      <c r="E2601" s="49"/>
    </row>
    <row r="2602" spans="1:5">
      <c r="A2602" s="49"/>
      <c r="B2602" s="49"/>
      <c r="C2602" s="49"/>
      <c r="D2602" s="49"/>
      <c r="E2602" s="49"/>
    </row>
    <row r="2603" spans="1:5">
      <c r="A2603" s="49"/>
      <c r="B2603" s="49"/>
      <c r="C2603" s="49"/>
      <c r="D2603" s="49"/>
      <c r="E2603" s="49"/>
    </row>
    <row r="2604" spans="1:5">
      <c r="A2604" s="49"/>
      <c r="B2604" s="49"/>
      <c r="C2604" s="49"/>
      <c r="D2604" s="49"/>
      <c r="E2604" s="49"/>
    </row>
    <row r="2605" spans="1:5">
      <c r="A2605" s="49"/>
      <c r="B2605" s="49"/>
      <c r="C2605" s="49"/>
      <c r="D2605" s="49"/>
      <c r="E2605" s="49"/>
    </row>
    <row r="2606" spans="1:5">
      <c r="A2606" s="49"/>
      <c r="B2606" s="49"/>
      <c r="C2606" s="49"/>
      <c r="D2606" s="49"/>
      <c r="E2606" s="49"/>
    </row>
    <row r="2607" spans="1:5">
      <c r="A2607" s="49"/>
      <c r="B2607" s="49"/>
      <c r="C2607" s="49"/>
      <c r="D2607" s="49"/>
      <c r="E2607" s="49"/>
    </row>
    <row r="2608" spans="1:5">
      <c r="A2608" s="49"/>
      <c r="B2608" s="49"/>
      <c r="C2608" s="49"/>
      <c r="D2608" s="49"/>
      <c r="E2608" s="49"/>
    </row>
    <row r="2609" spans="1:5">
      <c r="A2609" s="49"/>
      <c r="B2609" s="49"/>
      <c r="C2609" s="49"/>
      <c r="D2609" s="49"/>
      <c r="E2609" s="49"/>
    </row>
    <row r="2610" spans="1:5">
      <c r="A2610" s="49"/>
      <c r="B2610" s="49"/>
      <c r="C2610" s="49"/>
      <c r="D2610" s="49"/>
      <c r="E2610" s="49"/>
    </row>
    <row r="2611" spans="1:5">
      <c r="A2611" s="49"/>
      <c r="B2611" s="49"/>
      <c r="C2611" s="49"/>
      <c r="D2611" s="49"/>
      <c r="E2611" s="49"/>
    </row>
    <row r="2612" spans="1:5">
      <c r="A2612" s="49"/>
      <c r="B2612" s="49"/>
      <c r="C2612" s="49"/>
      <c r="D2612" s="49"/>
      <c r="E2612" s="49"/>
    </row>
    <row r="2613" spans="1:5">
      <c r="A2613" s="49"/>
      <c r="B2613" s="49"/>
      <c r="C2613" s="49"/>
      <c r="D2613" s="49"/>
      <c r="E2613" s="49"/>
    </row>
    <row r="2614" spans="1:5">
      <c r="A2614" s="49"/>
      <c r="B2614" s="49"/>
      <c r="C2614" s="49"/>
      <c r="D2614" s="49"/>
      <c r="E2614" s="49"/>
    </row>
    <row r="2615" spans="1:5">
      <c r="A2615" s="49"/>
      <c r="B2615" s="49"/>
      <c r="C2615" s="49"/>
      <c r="D2615" s="49"/>
      <c r="E2615" s="49"/>
    </row>
    <row r="2616" spans="1:5">
      <c r="A2616" s="49"/>
      <c r="B2616" s="49"/>
      <c r="C2616" s="49"/>
      <c r="D2616" s="49"/>
      <c r="E2616" s="49"/>
    </row>
    <row r="2617" spans="1:5">
      <c r="A2617" s="49"/>
      <c r="B2617" s="49"/>
      <c r="C2617" s="49"/>
      <c r="D2617" s="49"/>
      <c r="E2617" s="49"/>
    </row>
    <row r="2618" spans="1:5">
      <c r="A2618" s="49"/>
      <c r="B2618" s="49"/>
      <c r="C2618" s="49"/>
      <c r="D2618" s="49"/>
      <c r="E2618" s="49"/>
    </row>
    <row r="2619" spans="1:5">
      <c r="A2619" s="49"/>
      <c r="B2619" s="49"/>
      <c r="C2619" s="49"/>
      <c r="D2619" s="49"/>
      <c r="E2619" s="49"/>
    </row>
    <row r="2620" spans="1:5">
      <c r="A2620" s="49"/>
      <c r="B2620" s="49"/>
      <c r="C2620" s="49"/>
      <c r="D2620" s="49"/>
      <c r="E2620" s="49"/>
    </row>
    <row r="2621" spans="1:5">
      <c r="A2621" s="49"/>
      <c r="B2621" s="49"/>
      <c r="C2621" s="49"/>
      <c r="D2621" s="49"/>
      <c r="E2621" s="49"/>
    </row>
    <row r="2622" spans="1:5">
      <c r="A2622" s="49"/>
      <c r="B2622" s="49"/>
      <c r="C2622" s="49"/>
      <c r="D2622" s="49"/>
      <c r="E2622" s="49"/>
    </row>
    <row r="2623" spans="1:5">
      <c r="A2623" s="49"/>
      <c r="B2623" s="49"/>
      <c r="C2623" s="49"/>
      <c r="D2623" s="49"/>
      <c r="E2623" s="49"/>
    </row>
    <row r="2624" spans="1:5">
      <c r="A2624" s="49"/>
      <c r="B2624" s="49"/>
      <c r="C2624" s="49"/>
      <c r="D2624" s="49"/>
      <c r="E2624" s="49"/>
    </row>
    <row r="2625" spans="1:5">
      <c r="A2625" s="49"/>
      <c r="B2625" s="49"/>
      <c r="C2625" s="49"/>
      <c r="D2625" s="49"/>
      <c r="E2625" s="49"/>
    </row>
    <row r="2626" spans="1:5">
      <c r="A2626" s="49"/>
      <c r="B2626" s="49"/>
      <c r="C2626" s="49"/>
      <c r="D2626" s="49"/>
      <c r="E2626" s="49"/>
    </row>
    <row r="2627" spans="1:5">
      <c r="A2627" s="49"/>
      <c r="B2627" s="49"/>
      <c r="C2627" s="49"/>
      <c r="D2627" s="49"/>
      <c r="E2627" s="49"/>
    </row>
    <row r="2628" spans="1:5">
      <c r="A2628" s="49"/>
      <c r="B2628" s="49"/>
      <c r="C2628" s="49"/>
      <c r="D2628" s="49"/>
      <c r="E2628" s="49"/>
    </row>
    <row r="2629" spans="1:5">
      <c r="A2629" s="49"/>
      <c r="B2629" s="49"/>
      <c r="C2629" s="49"/>
      <c r="D2629" s="49"/>
      <c r="E2629" s="49"/>
    </row>
    <row r="2630" spans="1:5">
      <c r="A2630" s="49"/>
      <c r="B2630" s="49"/>
      <c r="C2630" s="49"/>
      <c r="D2630" s="49"/>
      <c r="E2630" s="49"/>
    </row>
    <row r="2631" spans="1:5">
      <c r="A2631" s="49"/>
      <c r="B2631" s="49"/>
      <c r="C2631" s="49"/>
      <c r="D2631" s="49"/>
      <c r="E2631" s="49"/>
    </row>
    <row r="2632" spans="1:5">
      <c r="A2632" s="49"/>
      <c r="B2632" s="49"/>
      <c r="C2632" s="49"/>
      <c r="D2632" s="49"/>
      <c r="E2632" s="49"/>
    </row>
    <row r="2633" spans="1:5">
      <c r="A2633" s="49"/>
      <c r="B2633" s="49"/>
      <c r="C2633" s="49"/>
      <c r="D2633" s="49"/>
      <c r="E2633" s="49"/>
    </row>
    <row r="2634" spans="1:5">
      <c r="A2634" s="49"/>
      <c r="B2634" s="49"/>
      <c r="C2634" s="49"/>
      <c r="D2634" s="49"/>
      <c r="E2634" s="49"/>
    </row>
    <row r="2635" spans="1:5">
      <c r="A2635" s="49"/>
      <c r="B2635" s="49"/>
      <c r="C2635" s="49"/>
      <c r="D2635" s="49"/>
      <c r="E2635" s="49"/>
    </row>
    <row r="2636" spans="1:5">
      <c r="A2636" s="49"/>
      <c r="B2636" s="49"/>
      <c r="C2636" s="49"/>
      <c r="D2636" s="49"/>
      <c r="E2636" s="49"/>
    </row>
    <row r="2637" spans="1:5">
      <c r="A2637" s="49"/>
      <c r="B2637" s="49"/>
      <c r="C2637" s="49"/>
      <c r="D2637" s="49"/>
      <c r="E2637" s="49"/>
    </row>
    <row r="2638" spans="1:5">
      <c r="A2638" s="49"/>
      <c r="B2638" s="49"/>
      <c r="C2638" s="49"/>
      <c r="D2638" s="49"/>
      <c r="E2638" s="49"/>
    </row>
    <row r="2639" spans="1:5">
      <c r="A2639" s="49"/>
      <c r="B2639" s="49"/>
      <c r="C2639" s="49"/>
      <c r="D2639" s="49"/>
      <c r="E2639" s="49"/>
    </row>
    <row r="2640" spans="1:5">
      <c r="A2640" s="49"/>
      <c r="B2640" s="49"/>
      <c r="C2640" s="49"/>
      <c r="D2640" s="49"/>
      <c r="E2640" s="49"/>
    </row>
    <row r="2641" spans="1:5">
      <c r="A2641" s="49"/>
      <c r="B2641" s="49"/>
      <c r="C2641" s="49"/>
      <c r="D2641" s="49"/>
      <c r="E2641" s="49"/>
    </row>
    <row r="2642" spans="1:5">
      <c r="A2642" s="49"/>
      <c r="B2642" s="49"/>
      <c r="C2642" s="49"/>
      <c r="D2642" s="49"/>
      <c r="E2642" s="49"/>
    </row>
    <row r="2643" spans="1:5">
      <c r="A2643" s="49"/>
      <c r="B2643" s="49"/>
      <c r="C2643" s="49"/>
      <c r="D2643" s="49"/>
      <c r="E2643" s="49"/>
    </row>
    <row r="2644" spans="1:5">
      <c r="A2644" s="49"/>
      <c r="B2644" s="49"/>
      <c r="C2644" s="49"/>
      <c r="D2644" s="49"/>
      <c r="E2644" s="49"/>
    </row>
    <row r="2645" spans="1:5">
      <c r="A2645" s="49"/>
      <c r="B2645" s="49"/>
      <c r="C2645" s="49"/>
      <c r="D2645" s="49"/>
      <c r="E2645" s="49"/>
    </row>
    <row r="2646" spans="1:5">
      <c r="A2646" s="49"/>
      <c r="B2646" s="49"/>
      <c r="C2646" s="49"/>
      <c r="D2646" s="49"/>
      <c r="E2646" s="49"/>
    </row>
    <row r="2647" spans="1:5">
      <c r="A2647" s="49"/>
      <c r="B2647" s="49"/>
      <c r="C2647" s="49"/>
      <c r="D2647" s="49"/>
      <c r="E2647" s="49"/>
    </row>
    <row r="2648" spans="1:5">
      <c r="A2648" s="49"/>
      <c r="B2648" s="49"/>
      <c r="C2648" s="49"/>
      <c r="D2648" s="49"/>
      <c r="E2648" s="49"/>
    </row>
    <row r="2649" spans="1:5">
      <c r="A2649" s="49"/>
      <c r="B2649" s="49"/>
      <c r="C2649" s="49"/>
      <c r="D2649" s="49"/>
      <c r="E2649" s="49"/>
    </row>
    <row r="2650" spans="1:5">
      <c r="A2650" s="49"/>
      <c r="B2650" s="49"/>
      <c r="C2650" s="49"/>
      <c r="D2650" s="49"/>
      <c r="E2650" s="49"/>
    </row>
    <row r="2651" spans="1:5">
      <c r="A2651" s="49"/>
      <c r="B2651" s="49"/>
      <c r="C2651" s="49"/>
      <c r="D2651" s="49"/>
      <c r="E2651" s="49"/>
    </row>
    <row r="2652" spans="1:5">
      <c r="A2652" s="49"/>
      <c r="B2652" s="49"/>
      <c r="C2652" s="49"/>
      <c r="D2652" s="49"/>
      <c r="E2652" s="49"/>
    </row>
    <row r="2653" spans="1:5">
      <c r="A2653" s="49"/>
      <c r="B2653" s="49"/>
      <c r="C2653" s="49"/>
      <c r="D2653" s="49"/>
      <c r="E2653" s="49"/>
    </row>
    <row r="2654" spans="1:5">
      <c r="A2654" s="49"/>
      <c r="B2654" s="49"/>
      <c r="C2654" s="49"/>
      <c r="D2654" s="49"/>
      <c r="E2654" s="49"/>
    </row>
    <row r="2655" spans="1:5">
      <c r="A2655" s="49"/>
      <c r="B2655" s="49"/>
      <c r="C2655" s="49"/>
      <c r="D2655" s="49"/>
      <c r="E2655" s="49"/>
    </row>
    <row r="2656" spans="1:5">
      <c r="A2656" s="49"/>
      <c r="B2656" s="49"/>
      <c r="C2656" s="49"/>
      <c r="D2656" s="49"/>
      <c r="E2656" s="49"/>
    </row>
    <row r="2657" spans="1:5">
      <c r="A2657" s="49"/>
      <c r="B2657" s="49"/>
      <c r="C2657" s="49"/>
      <c r="D2657" s="49"/>
      <c r="E2657" s="49"/>
    </row>
    <row r="2658" spans="1:5">
      <c r="A2658" s="49"/>
      <c r="B2658" s="49"/>
      <c r="C2658" s="49"/>
      <c r="D2658" s="49"/>
      <c r="E2658" s="49"/>
    </row>
    <row r="2659" spans="1:5">
      <c r="A2659" s="49"/>
      <c r="B2659" s="49"/>
      <c r="C2659" s="49"/>
      <c r="D2659" s="49"/>
      <c r="E2659" s="49"/>
    </row>
    <row r="2660" spans="1:5">
      <c r="A2660" s="49"/>
      <c r="B2660" s="49"/>
      <c r="C2660" s="49"/>
      <c r="D2660" s="49"/>
      <c r="E2660" s="49"/>
    </row>
    <row r="2661" spans="1:5">
      <c r="A2661" s="49"/>
      <c r="B2661" s="49"/>
      <c r="C2661" s="49"/>
      <c r="D2661" s="49"/>
      <c r="E2661" s="49"/>
    </row>
    <row r="2662" spans="1:5">
      <c r="A2662" s="49"/>
      <c r="B2662" s="49"/>
      <c r="C2662" s="49"/>
      <c r="D2662" s="49"/>
      <c r="E2662" s="49"/>
    </row>
    <row r="2663" spans="1:5">
      <c r="A2663" s="49"/>
      <c r="B2663" s="49"/>
      <c r="C2663" s="49"/>
      <c r="D2663" s="49"/>
      <c r="E2663" s="49"/>
    </row>
    <row r="2664" spans="1:5">
      <c r="A2664" s="49"/>
      <c r="B2664" s="49"/>
      <c r="C2664" s="49"/>
      <c r="D2664" s="49"/>
      <c r="E2664" s="49"/>
    </row>
    <row r="2665" spans="1:5">
      <c r="A2665" s="49"/>
      <c r="B2665" s="49"/>
      <c r="C2665" s="49"/>
      <c r="D2665" s="49"/>
      <c r="E2665" s="49"/>
    </row>
    <row r="2666" spans="1:5">
      <c r="A2666" s="49"/>
      <c r="B2666" s="49"/>
      <c r="C2666" s="49"/>
      <c r="D2666" s="49"/>
      <c r="E2666" s="49"/>
    </row>
    <row r="2667" spans="1:5">
      <c r="A2667" s="49"/>
      <c r="B2667" s="49"/>
      <c r="C2667" s="49"/>
      <c r="D2667" s="49"/>
      <c r="E2667" s="49"/>
    </row>
    <row r="2668" spans="1:5">
      <c r="A2668" s="49"/>
      <c r="B2668" s="49"/>
      <c r="C2668" s="49"/>
      <c r="D2668" s="49"/>
      <c r="E2668" s="49"/>
    </row>
    <row r="2669" spans="1:5">
      <c r="A2669" s="49"/>
      <c r="B2669" s="49"/>
      <c r="C2669" s="49"/>
      <c r="D2669" s="49"/>
      <c r="E2669" s="49"/>
    </row>
    <row r="2670" spans="1:5">
      <c r="A2670" s="49"/>
      <c r="B2670" s="49"/>
      <c r="C2670" s="49"/>
      <c r="D2670" s="49"/>
      <c r="E2670" s="49"/>
    </row>
    <row r="2671" spans="1:5">
      <c r="A2671" s="49"/>
      <c r="B2671" s="49"/>
      <c r="C2671" s="49"/>
      <c r="D2671" s="49"/>
      <c r="E2671" s="49"/>
    </row>
    <row r="2672" spans="1:5">
      <c r="A2672" s="49"/>
      <c r="B2672" s="49"/>
      <c r="C2672" s="49"/>
      <c r="D2672" s="49"/>
      <c r="E2672" s="49"/>
    </row>
    <row r="2673" spans="1:5">
      <c r="A2673" s="49"/>
      <c r="B2673" s="49"/>
      <c r="C2673" s="49"/>
      <c r="D2673" s="49"/>
      <c r="E2673" s="49"/>
    </row>
    <row r="2674" spans="1:5">
      <c r="A2674" s="49"/>
      <c r="B2674" s="49"/>
      <c r="C2674" s="49"/>
      <c r="D2674" s="49"/>
      <c r="E2674" s="49"/>
    </row>
    <row r="2675" spans="1:5">
      <c r="A2675" s="49"/>
      <c r="B2675" s="49"/>
      <c r="C2675" s="49"/>
      <c r="D2675" s="49"/>
      <c r="E2675" s="49"/>
    </row>
    <row r="2676" spans="1:5">
      <c r="A2676" s="49"/>
      <c r="B2676" s="49"/>
      <c r="C2676" s="49"/>
      <c r="D2676" s="49"/>
      <c r="E2676" s="49"/>
    </row>
    <row r="2677" spans="1:5">
      <c r="A2677" s="49"/>
      <c r="B2677" s="49"/>
      <c r="C2677" s="49"/>
      <c r="D2677" s="49"/>
      <c r="E2677" s="49"/>
    </row>
    <row r="2678" spans="1:5">
      <c r="A2678" s="49"/>
      <c r="B2678" s="49"/>
      <c r="C2678" s="49"/>
      <c r="D2678" s="49"/>
      <c r="E2678" s="49"/>
    </row>
    <row r="2679" spans="1:5">
      <c r="A2679" s="49"/>
      <c r="B2679" s="49"/>
      <c r="C2679" s="49"/>
      <c r="D2679" s="49"/>
      <c r="E2679" s="49"/>
    </row>
    <row r="2680" spans="1:5">
      <c r="A2680" s="49"/>
      <c r="B2680" s="49"/>
      <c r="C2680" s="49"/>
      <c r="D2680" s="49"/>
      <c r="E2680" s="49"/>
    </row>
    <row r="2681" spans="1:5">
      <c r="A2681" s="49"/>
      <c r="B2681" s="49"/>
      <c r="C2681" s="49"/>
      <c r="D2681" s="49"/>
      <c r="E2681" s="49"/>
    </row>
    <row r="2682" spans="1:5">
      <c r="A2682" s="49"/>
      <c r="B2682" s="49"/>
      <c r="C2682" s="49"/>
      <c r="D2682" s="49"/>
      <c r="E2682" s="49"/>
    </row>
    <row r="2683" spans="1:5">
      <c r="A2683" s="49"/>
      <c r="B2683" s="49"/>
      <c r="C2683" s="49"/>
      <c r="D2683" s="49"/>
      <c r="E2683" s="49"/>
    </row>
    <row r="2684" spans="1:5">
      <c r="A2684" s="49"/>
      <c r="B2684" s="49"/>
      <c r="C2684" s="49"/>
      <c r="D2684" s="49"/>
      <c r="E2684" s="49"/>
    </row>
    <row r="2685" spans="1:5">
      <c r="A2685" s="49"/>
      <c r="B2685" s="49"/>
      <c r="C2685" s="49"/>
      <c r="D2685" s="49"/>
      <c r="E2685" s="49"/>
    </row>
    <row r="2686" spans="1:5">
      <c r="A2686" s="49"/>
      <c r="B2686" s="49"/>
      <c r="C2686" s="49"/>
      <c r="D2686" s="49"/>
      <c r="E2686" s="49"/>
    </row>
    <row r="2687" spans="1:5">
      <c r="A2687" s="49"/>
      <c r="B2687" s="49"/>
      <c r="C2687" s="49"/>
      <c r="D2687" s="49"/>
      <c r="E2687" s="49"/>
    </row>
    <row r="2688" spans="1:5">
      <c r="A2688" s="49"/>
      <c r="B2688" s="49"/>
      <c r="C2688" s="49"/>
      <c r="D2688" s="49"/>
      <c r="E2688" s="49"/>
    </row>
    <row r="2689" spans="1:5">
      <c r="A2689" s="49"/>
      <c r="B2689" s="49"/>
      <c r="C2689" s="49"/>
      <c r="D2689" s="49"/>
      <c r="E2689" s="49"/>
    </row>
    <row r="2690" spans="1:5">
      <c r="A2690" s="49"/>
      <c r="B2690" s="49"/>
      <c r="C2690" s="49"/>
      <c r="D2690" s="49"/>
      <c r="E2690" s="49"/>
    </row>
    <row r="2691" spans="1:5">
      <c r="A2691" s="49"/>
      <c r="B2691" s="49"/>
      <c r="C2691" s="49"/>
      <c r="D2691" s="49"/>
      <c r="E2691" s="49"/>
    </row>
    <row r="2692" spans="1:5">
      <c r="A2692" s="49"/>
      <c r="B2692" s="49"/>
      <c r="C2692" s="49"/>
      <c r="D2692" s="49"/>
      <c r="E2692" s="49"/>
    </row>
    <row r="2693" spans="1:5">
      <c r="A2693" s="49"/>
      <c r="B2693" s="49"/>
      <c r="C2693" s="49"/>
      <c r="D2693" s="49"/>
      <c r="E2693" s="49"/>
    </row>
    <row r="2694" spans="1:5">
      <c r="A2694" s="49"/>
      <c r="B2694" s="49"/>
      <c r="C2694" s="49"/>
      <c r="D2694" s="49"/>
      <c r="E2694" s="49"/>
    </row>
    <row r="2695" spans="1:5">
      <c r="A2695" s="49"/>
      <c r="B2695" s="49"/>
      <c r="C2695" s="49"/>
      <c r="D2695" s="49"/>
      <c r="E2695" s="49"/>
    </row>
    <row r="2696" spans="1:5">
      <c r="A2696" s="49"/>
      <c r="B2696" s="49"/>
      <c r="C2696" s="49"/>
      <c r="D2696" s="49"/>
      <c r="E2696" s="49"/>
    </row>
    <row r="2697" spans="1:5">
      <c r="A2697" s="49"/>
      <c r="B2697" s="49"/>
      <c r="C2697" s="49"/>
      <c r="D2697" s="49"/>
      <c r="E2697" s="49"/>
    </row>
    <row r="2698" spans="1:5">
      <c r="A2698" s="49"/>
      <c r="B2698" s="49"/>
      <c r="C2698" s="49"/>
      <c r="D2698" s="49"/>
      <c r="E2698" s="49"/>
    </row>
    <row r="2699" spans="1:5">
      <c r="A2699" s="49"/>
      <c r="B2699" s="49"/>
      <c r="C2699" s="49"/>
      <c r="D2699" s="49"/>
      <c r="E2699" s="49"/>
    </row>
    <row r="2700" spans="1:5">
      <c r="A2700" s="49"/>
      <c r="B2700" s="49"/>
      <c r="C2700" s="49"/>
      <c r="D2700" s="49"/>
      <c r="E2700" s="49"/>
    </row>
    <row r="2701" spans="1:5">
      <c r="A2701" s="49"/>
      <c r="B2701" s="49"/>
      <c r="C2701" s="49"/>
      <c r="D2701" s="49"/>
      <c r="E2701" s="49"/>
    </row>
    <row r="2702" spans="1:5">
      <c r="A2702" s="49"/>
      <c r="B2702" s="49"/>
      <c r="C2702" s="49"/>
      <c r="D2702" s="49"/>
      <c r="E2702" s="49"/>
    </row>
    <row r="2703" spans="1:5">
      <c r="A2703" s="49"/>
      <c r="B2703" s="49"/>
      <c r="C2703" s="49"/>
      <c r="D2703" s="49"/>
      <c r="E2703" s="49"/>
    </row>
    <row r="2704" spans="1:5">
      <c r="A2704" s="49"/>
      <c r="B2704" s="49"/>
      <c r="C2704" s="49"/>
      <c r="D2704" s="49"/>
      <c r="E2704" s="49"/>
    </row>
    <row r="2705" spans="1:5">
      <c r="A2705" s="49"/>
      <c r="B2705" s="49"/>
      <c r="C2705" s="49"/>
      <c r="D2705" s="49"/>
      <c r="E2705" s="49"/>
    </row>
    <row r="2706" spans="1:5">
      <c r="A2706" s="49"/>
      <c r="B2706" s="49"/>
      <c r="C2706" s="49"/>
      <c r="D2706" s="49"/>
      <c r="E2706" s="49"/>
    </row>
    <row r="2707" spans="1:5">
      <c r="A2707" s="49"/>
      <c r="B2707" s="49"/>
      <c r="C2707" s="49"/>
      <c r="D2707" s="49"/>
      <c r="E2707" s="49"/>
    </row>
    <row r="2708" spans="1:5">
      <c r="A2708" s="49"/>
      <c r="B2708" s="49"/>
      <c r="C2708" s="49"/>
      <c r="D2708" s="49"/>
      <c r="E2708" s="49"/>
    </row>
    <row r="2709" spans="1:5">
      <c r="A2709" s="49"/>
      <c r="B2709" s="49"/>
      <c r="C2709" s="49"/>
      <c r="D2709" s="49"/>
      <c r="E2709" s="49"/>
    </row>
    <row r="2710" spans="1:5">
      <c r="A2710" s="49"/>
      <c r="B2710" s="49"/>
      <c r="C2710" s="49"/>
      <c r="D2710" s="49"/>
      <c r="E2710" s="49"/>
    </row>
    <row r="2711" spans="1:5">
      <c r="A2711" s="49"/>
      <c r="B2711" s="49"/>
      <c r="C2711" s="49"/>
      <c r="D2711" s="49"/>
      <c r="E2711" s="49"/>
    </row>
    <row r="2712" spans="1:5">
      <c r="A2712" s="49"/>
      <c r="B2712" s="49"/>
      <c r="C2712" s="49"/>
      <c r="D2712" s="49"/>
      <c r="E2712" s="49"/>
    </row>
    <row r="2713" spans="1:5">
      <c r="A2713" s="49"/>
      <c r="B2713" s="49"/>
      <c r="C2713" s="49"/>
      <c r="D2713" s="49"/>
      <c r="E2713" s="49"/>
    </row>
    <row r="2714" spans="1:5">
      <c r="A2714" s="49"/>
      <c r="B2714" s="49"/>
      <c r="C2714" s="49"/>
      <c r="D2714" s="49"/>
      <c r="E2714" s="49"/>
    </row>
    <row r="2715" spans="1:5">
      <c r="A2715" s="49"/>
      <c r="B2715" s="49"/>
      <c r="C2715" s="49"/>
      <c r="D2715" s="49"/>
      <c r="E2715" s="49"/>
    </row>
    <row r="2716" spans="1:5">
      <c r="A2716" s="49"/>
      <c r="B2716" s="49"/>
      <c r="C2716" s="49"/>
      <c r="D2716" s="49"/>
      <c r="E2716" s="49"/>
    </row>
    <row r="2717" spans="1:5">
      <c r="A2717" s="49"/>
      <c r="B2717" s="49"/>
      <c r="C2717" s="49"/>
      <c r="D2717" s="49"/>
      <c r="E2717" s="49"/>
    </row>
    <row r="2718" spans="1:5">
      <c r="A2718" s="49"/>
      <c r="B2718" s="49"/>
      <c r="C2718" s="49"/>
      <c r="D2718" s="49"/>
      <c r="E2718" s="49"/>
    </row>
    <row r="2719" spans="1:5">
      <c r="A2719" s="49"/>
      <c r="B2719" s="49"/>
      <c r="C2719" s="49"/>
      <c r="D2719" s="49"/>
      <c r="E2719" s="49"/>
    </row>
    <row r="2720" spans="1:5">
      <c r="A2720" s="49"/>
      <c r="B2720" s="49"/>
      <c r="C2720" s="49"/>
      <c r="D2720" s="49"/>
      <c r="E2720" s="49"/>
    </row>
    <row r="2721" spans="1:5">
      <c r="A2721" s="49"/>
      <c r="B2721" s="49"/>
      <c r="C2721" s="49"/>
      <c r="D2721" s="49"/>
      <c r="E2721" s="49"/>
    </row>
    <row r="2722" spans="1:5">
      <c r="A2722" s="49"/>
      <c r="B2722" s="49"/>
      <c r="C2722" s="49"/>
      <c r="D2722" s="49"/>
      <c r="E2722" s="49"/>
    </row>
    <row r="2723" spans="1:5">
      <c r="A2723" s="49"/>
      <c r="B2723" s="49"/>
      <c r="C2723" s="49"/>
      <c r="D2723" s="49"/>
      <c r="E2723" s="49"/>
    </row>
    <row r="2724" spans="1:5">
      <c r="A2724" s="49"/>
      <c r="B2724" s="49"/>
      <c r="C2724" s="49"/>
      <c r="D2724" s="49"/>
      <c r="E2724" s="49"/>
    </row>
    <row r="2725" spans="1:5">
      <c r="A2725" s="49"/>
      <c r="B2725" s="49"/>
      <c r="C2725" s="49"/>
      <c r="D2725" s="49"/>
      <c r="E2725" s="49"/>
    </row>
    <row r="2726" spans="1:5">
      <c r="A2726" s="49"/>
      <c r="B2726" s="49"/>
      <c r="C2726" s="49"/>
      <c r="D2726" s="49"/>
      <c r="E2726" s="49"/>
    </row>
    <row r="2727" spans="1:5">
      <c r="A2727" s="49"/>
      <c r="B2727" s="49"/>
      <c r="C2727" s="49"/>
      <c r="D2727" s="49"/>
      <c r="E2727" s="49"/>
    </row>
    <row r="2728" spans="1:5">
      <c r="A2728" s="49"/>
      <c r="B2728" s="49"/>
      <c r="C2728" s="49"/>
      <c r="D2728" s="49"/>
      <c r="E2728" s="49"/>
    </row>
    <row r="2729" spans="1:5">
      <c r="A2729" s="49"/>
      <c r="B2729" s="49"/>
      <c r="C2729" s="49"/>
      <c r="D2729" s="49"/>
      <c r="E2729" s="49"/>
    </row>
    <row r="2730" spans="1:5">
      <c r="A2730" s="49"/>
      <c r="B2730" s="49"/>
      <c r="C2730" s="49"/>
      <c r="D2730" s="49"/>
      <c r="E2730" s="49"/>
    </row>
    <row r="2731" spans="1:5">
      <c r="A2731" s="49"/>
      <c r="B2731" s="49"/>
      <c r="C2731" s="49"/>
      <c r="D2731" s="49"/>
      <c r="E2731" s="49"/>
    </row>
    <row r="2732" spans="1:5">
      <c r="A2732" s="49"/>
      <c r="B2732" s="49"/>
      <c r="C2732" s="49"/>
      <c r="D2732" s="49"/>
      <c r="E2732" s="49"/>
    </row>
  </sheetData>
  <mergeCells count="12">
    <mergeCell ref="N6:N7"/>
    <mergeCell ref="A8:E8"/>
    <mergeCell ref="A1:N1"/>
    <mergeCell ref="A2:N2"/>
    <mergeCell ref="A6:E7"/>
    <mergeCell ref="F6:F7"/>
    <mergeCell ref="G6:G7"/>
    <mergeCell ref="H6:H7"/>
    <mergeCell ref="I6:I7"/>
    <mergeCell ref="J6:K6"/>
    <mergeCell ref="L6:L7"/>
    <mergeCell ref="M6:M7"/>
  </mergeCells>
  <printOptions horizontalCentered="1"/>
  <pageMargins left="0.19685039370078741" right="0.19685039370078741" top="0.78740157480314965" bottom="0.35433070866141736" header="0.39370078740157483" footer="0.19685039370078741"/>
  <pageSetup paperSize="9" scale="72" fitToHeight="0" orientation="landscape" r:id="rId1"/>
  <headerFooter alignWithMargins="0"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04"/>
  <sheetViews>
    <sheetView zoomScale="90" zoomScaleNormal="90" workbookViewId="0">
      <selection activeCell="R30" sqref="N20:R30"/>
    </sheetView>
  </sheetViews>
  <sheetFormatPr defaultRowHeight="12.75"/>
  <cols>
    <col min="2" max="2" width="58.42578125" customWidth="1"/>
    <col min="3" max="3" width="13.5703125" bestFit="1" customWidth="1"/>
    <col min="4" max="4" width="22.140625" customWidth="1"/>
    <col min="5" max="5" width="29" customWidth="1"/>
    <col min="9" max="9" width="20.28515625" customWidth="1"/>
    <col min="10" max="10" width="15.42578125" customWidth="1"/>
    <col min="11" max="11" width="18.85546875" customWidth="1"/>
    <col min="12" max="12" width="8.140625" customWidth="1"/>
    <col min="13" max="13" width="21.7109375" customWidth="1"/>
    <col min="14" max="14" width="12.7109375" bestFit="1" customWidth="1"/>
    <col min="15" max="16" width="9.42578125" bestFit="1" customWidth="1"/>
    <col min="17" max="17" width="12.85546875" customWidth="1"/>
    <col min="18" max="18" width="13.5703125" customWidth="1"/>
    <col min="19" max="20" width="9.42578125" bestFit="1" customWidth="1"/>
    <col min="21" max="21" width="15.42578125" customWidth="1"/>
    <col min="22" max="22" width="14" customWidth="1"/>
    <col min="23" max="23" width="9.42578125" bestFit="1" customWidth="1"/>
    <col min="24" max="24" width="13.7109375" customWidth="1"/>
    <col min="25" max="25" width="15.140625" customWidth="1"/>
    <col min="26" max="26" width="9.42578125" bestFit="1" customWidth="1"/>
    <col min="27" max="27" width="15.140625" customWidth="1"/>
    <col min="28" max="31" width="9.42578125" bestFit="1" customWidth="1"/>
    <col min="32" max="32" width="15" customWidth="1"/>
    <col min="33" max="37" width="9.42578125" bestFit="1" customWidth="1"/>
    <col min="38" max="38" width="13.85546875" customWidth="1"/>
    <col min="39" max="39" width="20.7109375" customWidth="1"/>
    <col min="40" max="40" width="9.42578125" bestFit="1" customWidth="1"/>
    <col min="41" max="41" width="15.140625" customWidth="1"/>
    <col min="42" max="42" width="9.42578125" bestFit="1" customWidth="1"/>
    <col min="43" max="43" width="11.42578125" bestFit="1" customWidth="1"/>
    <col min="44" max="59" width="9.42578125" bestFit="1" customWidth="1"/>
    <col min="60" max="60" width="17" customWidth="1"/>
    <col min="65" max="65" width="14.28515625" customWidth="1"/>
  </cols>
  <sheetData>
    <row r="1" spans="1:66">
      <c r="F1" s="1"/>
      <c r="G1" s="116"/>
      <c r="H1" s="116"/>
      <c r="I1" s="117" t="s">
        <v>1247</v>
      </c>
      <c r="J1" s="117" t="s">
        <v>1261</v>
      </c>
      <c r="K1" s="117" t="s">
        <v>1251</v>
      </c>
      <c r="L1" s="116"/>
      <c r="M1" s="117" t="s">
        <v>1258</v>
      </c>
      <c r="N1" s="118" t="s">
        <v>1277</v>
      </c>
      <c r="O1" s="116"/>
      <c r="P1" s="116"/>
      <c r="Q1" s="117" t="s">
        <v>1255</v>
      </c>
      <c r="R1" s="117" t="s">
        <v>1259</v>
      </c>
      <c r="S1" s="116"/>
      <c r="T1" s="116"/>
      <c r="U1" s="117" t="s">
        <v>1256</v>
      </c>
      <c r="V1" s="117" t="s">
        <v>1249</v>
      </c>
      <c r="W1" s="116"/>
      <c r="X1" s="118" t="s">
        <v>1278</v>
      </c>
      <c r="Y1" s="117" t="s">
        <v>1250</v>
      </c>
      <c r="Z1" s="116"/>
      <c r="AA1" s="117" t="s">
        <v>1434</v>
      </c>
      <c r="AB1" s="116"/>
      <c r="AC1" s="116"/>
      <c r="AD1" s="116"/>
      <c r="AE1" s="116"/>
      <c r="AF1" s="117" t="s">
        <v>1248</v>
      </c>
      <c r="AG1" s="116"/>
      <c r="AH1" s="116"/>
      <c r="AI1" s="116"/>
      <c r="AJ1" s="114"/>
      <c r="AK1" s="114"/>
      <c r="AL1" s="117" t="s">
        <v>1260</v>
      </c>
      <c r="AM1" s="117" t="s">
        <v>1257</v>
      </c>
      <c r="AN1" s="114"/>
      <c r="AO1" s="117" t="s">
        <v>1253</v>
      </c>
      <c r="AP1" s="114"/>
      <c r="AQ1" s="118" t="s">
        <v>1276</v>
      </c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7" t="s">
        <v>1252</v>
      </c>
      <c r="BI1" s="114"/>
      <c r="BJ1" s="114"/>
      <c r="BK1" s="114"/>
      <c r="BL1" s="114"/>
      <c r="BM1" s="114"/>
      <c r="BN1" s="114"/>
    </row>
    <row r="2" spans="1:66">
      <c r="E2" s="181">
        <f>E3-E4</f>
        <v>-2015</v>
      </c>
      <c r="F2" s="1"/>
      <c r="G2" s="116"/>
      <c r="H2" s="116"/>
      <c r="I2" s="119">
        <v>1</v>
      </c>
      <c r="J2" s="119">
        <v>15</v>
      </c>
      <c r="K2" s="119">
        <v>5</v>
      </c>
      <c r="L2" s="116"/>
      <c r="M2" s="119">
        <v>12</v>
      </c>
      <c r="N2" s="120">
        <v>17</v>
      </c>
      <c r="O2" s="116"/>
      <c r="P2" s="116"/>
      <c r="Q2" s="119">
        <v>9</v>
      </c>
      <c r="R2" s="119">
        <v>13</v>
      </c>
      <c r="S2" s="116"/>
      <c r="T2" s="116"/>
      <c r="U2" s="119">
        <v>11</v>
      </c>
      <c r="V2" s="119">
        <v>3</v>
      </c>
      <c r="W2" s="116"/>
      <c r="X2" s="120">
        <v>18</v>
      </c>
      <c r="Y2" s="119">
        <v>4</v>
      </c>
      <c r="Z2" s="116"/>
      <c r="AA2" s="119">
        <v>8</v>
      </c>
      <c r="AB2" s="116"/>
      <c r="AC2" s="116"/>
      <c r="AD2" s="116"/>
      <c r="AE2" s="116"/>
      <c r="AF2" s="119">
        <v>2</v>
      </c>
      <c r="AG2" s="116"/>
      <c r="AH2" s="116"/>
      <c r="AI2" s="116"/>
      <c r="AJ2" s="114"/>
      <c r="AK2" s="114"/>
      <c r="AL2" s="119">
        <v>14</v>
      </c>
      <c r="AM2" s="119">
        <v>10</v>
      </c>
      <c r="AN2" s="114"/>
      <c r="AO2" s="119">
        <v>7</v>
      </c>
      <c r="AP2" s="114"/>
      <c r="AQ2" s="120">
        <v>16</v>
      </c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9">
        <v>6</v>
      </c>
      <c r="BI2" s="114"/>
      <c r="BJ2" s="114"/>
      <c r="BK2" s="114"/>
      <c r="BL2" s="114"/>
      <c r="BM2" s="114"/>
      <c r="BN2" s="114"/>
    </row>
    <row r="3" spans="1:66">
      <c r="E3" s="114">
        <f>'[2]всего лзинг'!H9</f>
        <v>0</v>
      </c>
      <c r="F3" s="145" t="s">
        <v>1446</v>
      </c>
      <c r="G3" s="136" t="s">
        <v>94</v>
      </c>
      <c r="H3" s="137" t="s">
        <v>95</v>
      </c>
      <c r="I3" s="138" t="s">
        <v>96</v>
      </c>
      <c r="J3" s="138" t="s">
        <v>97</v>
      </c>
      <c r="K3" s="138" t="s">
        <v>98</v>
      </c>
      <c r="L3" s="137" t="s">
        <v>99</v>
      </c>
      <c r="M3" s="138" t="s">
        <v>100</v>
      </c>
      <c r="N3" s="138" t="s">
        <v>101</v>
      </c>
      <c r="O3" s="137" t="s">
        <v>102</v>
      </c>
      <c r="P3" s="139" t="s">
        <v>103</v>
      </c>
      <c r="Q3" s="139" t="s">
        <v>104</v>
      </c>
      <c r="R3" s="139" t="s">
        <v>105</v>
      </c>
      <c r="S3" s="139" t="s">
        <v>106</v>
      </c>
      <c r="T3" s="139" t="s">
        <v>107</v>
      </c>
      <c r="U3" s="139" t="s">
        <v>108</v>
      </c>
      <c r="V3" s="139" t="s">
        <v>109</v>
      </c>
      <c r="W3" s="139" t="s">
        <v>110</v>
      </c>
      <c r="X3" s="139" t="s">
        <v>111</v>
      </c>
      <c r="Y3" s="139" t="s">
        <v>112</v>
      </c>
      <c r="Z3" s="139" t="s">
        <v>113</v>
      </c>
      <c r="AA3" s="139" t="s">
        <v>114</v>
      </c>
      <c r="AB3" s="136" t="s">
        <v>115</v>
      </c>
      <c r="AC3" s="140" t="s">
        <v>117</v>
      </c>
      <c r="AD3" s="137" t="s">
        <v>118</v>
      </c>
      <c r="AE3" s="138" t="s">
        <v>119</v>
      </c>
      <c r="AF3" s="136" t="s">
        <v>120</v>
      </c>
      <c r="AG3" s="137" t="s">
        <v>121</v>
      </c>
      <c r="AH3" s="141" t="s">
        <v>122</v>
      </c>
      <c r="AI3" s="137" t="s">
        <v>123</v>
      </c>
      <c r="AJ3" s="137" t="s">
        <v>124</v>
      </c>
      <c r="AK3" s="137" t="s">
        <v>125</v>
      </c>
      <c r="AL3" s="141" t="s">
        <v>126</v>
      </c>
      <c r="AM3" s="141" t="s">
        <v>127</v>
      </c>
      <c r="AN3" s="142" t="s">
        <v>128</v>
      </c>
      <c r="AO3" s="142" t="s">
        <v>129</v>
      </c>
      <c r="AP3" s="141" t="s">
        <v>130</v>
      </c>
      <c r="AQ3" s="141" t="s">
        <v>131</v>
      </c>
      <c r="AR3" s="136" t="s">
        <v>132</v>
      </c>
      <c r="AS3" s="137" t="s">
        <v>133</v>
      </c>
      <c r="AT3" s="137" t="s">
        <v>134</v>
      </c>
      <c r="AU3" s="136" t="s">
        <v>135</v>
      </c>
      <c r="AV3" s="137" t="s">
        <v>136</v>
      </c>
      <c r="AW3" s="137" t="s">
        <v>137</v>
      </c>
      <c r="AX3" s="138" t="s">
        <v>138</v>
      </c>
      <c r="AY3" s="136" t="s">
        <v>139</v>
      </c>
      <c r="AZ3" s="136" t="s">
        <v>140</v>
      </c>
      <c r="BA3" s="137" t="s">
        <v>141</v>
      </c>
      <c r="BB3" s="143" t="s">
        <v>142</v>
      </c>
      <c r="BC3" s="143" t="s">
        <v>143</v>
      </c>
      <c r="BD3" s="137" t="s">
        <v>144</v>
      </c>
      <c r="BE3" s="137" t="s">
        <v>145</v>
      </c>
      <c r="BF3" s="136" t="s">
        <v>146</v>
      </c>
      <c r="BG3" s="137" t="s">
        <v>147</v>
      </c>
      <c r="BH3" s="137" t="s">
        <v>148</v>
      </c>
      <c r="BI3" s="137" t="s">
        <v>149</v>
      </c>
      <c r="BJ3" s="136" t="s">
        <v>150</v>
      </c>
      <c r="BK3" s="144" t="s">
        <v>151</v>
      </c>
      <c r="BL3" s="144" t="s">
        <v>152</v>
      </c>
      <c r="BM3" s="1329" t="s">
        <v>46</v>
      </c>
      <c r="BN3" s="123"/>
    </row>
    <row r="4" spans="1:66" ht="122.25" customHeight="1">
      <c r="E4" s="433">
        <v>2015</v>
      </c>
      <c r="F4" s="146" t="s">
        <v>1445</v>
      </c>
      <c r="G4" s="124" t="s">
        <v>153</v>
      </c>
      <c r="H4" s="124" t="s">
        <v>154</v>
      </c>
      <c r="I4" s="173" t="s">
        <v>155</v>
      </c>
      <c r="J4" s="173" t="s">
        <v>156</v>
      </c>
      <c r="K4" s="173" t="s">
        <v>157</v>
      </c>
      <c r="L4" s="173" t="s">
        <v>158</v>
      </c>
      <c r="M4" s="173" t="s">
        <v>159</v>
      </c>
      <c r="N4" s="173" t="s">
        <v>160</v>
      </c>
      <c r="O4" s="173" t="s">
        <v>161</v>
      </c>
      <c r="P4" s="174" t="s">
        <v>162</v>
      </c>
      <c r="Q4" s="174" t="s">
        <v>163</v>
      </c>
      <c r="R4" s="174" t="s">
        <v>164</v>
      </c>
      <c r="S4" s="174" t="s">
        <v>165</v>
      </c>
      <c r="T4" s="174" t="s">
        <v>166</v>
      </c>
      <c r="U4" s="174" t="s">
        <v>167</v>
      </c>
      <c r="V4" s="174" t="s">
        <v>168</v>
      </c>
      <c r="W4" s="174" t="s">
        <v>169</v>
      </c>
      <c r="X4" s="174" t="s">
        <v>170</v>
      </c>
      <c r="Y4" s="174" t="s">
        <v>171</v>
      </c>
      <c r="Z4" s="174" t="s">
        <v>172</v>
      </c>
      <c r="AA4" s="174" t="s">
        <v>173</v>
      </c>
      <c r="AB4" s="121" t="s">
        <v>174</v>
      </c>
      <c r="AC4" s="122" t="s">
        <v>176</v>
      </c>
      <c r="AD4" s="124" t="s">
        <v>177</v>
      </c>
      <c r="AE4" s="122" t="s">
        <v>178</v>
      </c>
      <c r="AF4" s="121" t="s">
        <v>179</v>
      </c>
      <c r="AG4" s="124" t="s">
        <v>180</v>
      </c>
      <c r="AH4" s="124" t="s">
        <v>181</v>
      </c>
      <c r="AI4" s="124" t="s">
        <v>182</v>
      </c>
      <c r="AJ4" s="124" t="s">
        <v>183</v>
      </c>
      <c r="AK4" s="124" t="s">
        <v>184</v>
      </c>
      <c r="AL4" s="124" t="s">
        <v>185</v>
      </c>
      <c r="AM4" s="124" t="s">
        <v>186</v>
      </c>
      <c r="AN4" s="122" t="s">
        <v>187</v>
      </c>
      <c r="AO4" s="122" t="s">
        <v>188</v>
      </c>
      <c r="AP4" s="124" t="s">
        <v>189</v>
      </c>
      <c r="AQ4" s="124" t="s">
        <v>190</v>
      </c>
      <c r="AR4" s="125" t="s">
        <v>191</v>
      </c>
      <c r="AS4" s="124" t="s">
        <v>192</v>
      </c>
      <c r="AT4" s="124" t="s">
        <v>193</v>
      </c>
      <c r="AU4" s="125" t="s">
        <v>194</v>
      </c>
      <c r="AV4" s="124" t="s">
        <v>195</v>
      </c>
      <c r="AW4" s="124" t="s">
        <v>196</v>
      </c>
      <c r="AX4" s="122"/>
      <c r="AY4" s="125" t="s">
        <v>197</v>
      </c>
      <c r="AZ4" s="125" t="s">
        <v>198</v>
      </c>
      <c r="BA4" s="124" t="s">
        <v>199</v>
      </c>
      <c r="BB4" s="124" t="s">
        <v>200</v>
      </c>
      <c r="BC4" s="124" t="s">
        <v>28</v>
      </c>
      <c r="BD4" s="124" t="s">
        <v>201</v>
      </c>
      <c r="BE4" s="124" t="s">
        <v>202</v>
      </c>
      <c r="BF4" s="124" t="s">
        <v>203</v>
      </c>
      <c r="BG4" s="124" t="s">
        <v>204</v>
      </c>
      <c r="BH4" s="122" t="s">
        <v>205</v>
      </c>
      <c r="BI4" s="124" t="s">
        <v>206</v>
      </c>
      <c r="BJ4" s="125" t="s">
        <v>13</v>
      </c>
      <c r="BK4" s="125" t="s">
        <v>207</v>
      </c>
      <c r="BL4" s="126" t="s">
        <v>208</v>
      </c>
      <c r="BM4" s="1329"/>
      <c r="BN4" s="123"/>
    </row>
    <row r="5" spans="1:66" ht="17.25">
      <c r="B5" s="228"/>
      <c r="C5" s="59"/>
      <c r="E5" s="127">
        <f t="shared" ref="E5:E10" si="0">SUM(I5:BL5)</f>
        <v>145894357.40000004</v>
      </c>
      <c r="F5" s="135" t="s">
        <v>444</v>
      </c>
      <c r="G5" s="128"/>
      <c r="H5" s="128"/>
      <c r="I5" s="182">
        <f>SUMIFS($D$12:$D$2941,$C$12:$C$2941,"СМП",$A$12:$A$2941,"1")</f>
        <v>80334919.200000003</v>
      </c>
      <c r="J5" s="182">
        <f>SUMIFS($D$12:$D$2941,$C$12:$C$2941,"СМП",$A$12:$A$2941,"15")</f>
        <v>6351694.3000000007</v>
      </c>
      <c r="K5" s="182">
        <f>SUMIFS(D12:D2941,C12:C2941,"СМП",$A$12:$A$2941,"5")</f>
        <v>2374970.6</v>
      </c>
      <c r="L5" s="128"/>
      <c r="M5" s="182">
        <f>SUMIFS($D$12:$D$2941,$C$12:$C$2941,"СМП",$A$12:$A$2941,"12")</f>
        <v>473336.6</v>
      </c>
      <c r="N5" s="182">
        <f>SUMIFS(D12:D2941,C12:C2941,"СМП",$A$12:$A$2941,"17")</f>
        <v>209951.4</v>
      </c>
      <c r="O5" s="128"/>
      <c r="P5" s="128"/>
      <c r="Q5" s="182">
        <f>SUMIFS(D12:D2941,C12:C2941,"СМП",$A$12:$A$2941,"9")</f>
        <v>913271.39999999991</v>
      </c>
      <c r="R5" s="182">
        <f>SUMIFS(D12:D2941,C12:C2941,"СМП",$A$12:$A$2941,"13")</f>
        <v>1625432.8</v>
      </c>
      <c r="S5" s="128"/>
      <c r="T5" s="128"/>
      <c r="U5" s="182">
        <f>SUMIFS(D12:D2941,C12:C2941,"СМП",$A$12:$A$2941,"11")</f>
        <v>9291666.3000000007</v>
      </c>
      <c r="V5" s="182">
        <f>SUMIFS(D12:D2941,C12:C2941,"СМП",$A$12:$A$2941,"3")</f>
        <v>1255632.3999999999</v>
      </c>
      <c r="W5" s="128"/>
      <c r="X5" s="182">
        <f>SUMIFS(D12:D2941,C12:C2941,"СМП",$A$12:$A$2941,"18")</f>
        <v>210402.3</v>
      </c>
      <c r="Y5" s="182">
        <f>SUMIFS(D12:D2941,C12:C2941,"СМП",$A$12:$A$2941,"4")</f>
        <v>27862812.000000004</v>
      </c>
      <c r="Z5" s="128"/>
      <c r="AA5" s="182">
        <f>SUMIFS(D12:D2941,C12:C2941,"СМП",$A$12:$A$2941,"8")</f>
        <v>7465579.1000000006</v>
      </c>
      <c r="AB5" s="128"/>
      <c r="AC5" s="128"/>
      <c r="AD5" s="128"/>
      <c r="AE5" s="128"/>
      <c r="AF5" s="182">
        <f>SUMIFS(D12:D2941,C12:C2941,"СМП",$A$12:$A$2941,"2")</f>
        <v>3942085.4000000008</v>
      </c>
      <c r="AG5" s="128"/>
      <c r="AH5" s="128"/>
      <c r="AI5" s="128"/>
      <c r="AJ5" s="123"/>
      <c r="AK5" s="123"/>
      <c r="AL5" s="182">
        <f>SUMIFS(D12:D2941,C12:C2941,"СМП",$A$12:$A$2941,"14")</f>
        <v>56049.3</v>
      </c>
      <c r="AM5" s="182">
        <f>SUMIFS(D12:D2941,C12:C2941,"СМП",$A$12:$A$2941,"10")</f>
        <v>119172.8</v>
      </c>
      <c r="AN5" s="123"/>
      <c r="AO5" s="182">
        <f>SUMIFS(D12:D2941,C12:C2941,"СМП",$A$12:$A$2941,"7")</f>
        <v>189042.7</v>
      </c>
      <c r="AP5" s="123"/>
      <c r="AQ5" s="182">
        <f>SUMIFS(D12:D2941,C12:C2941,"СМП",$A$12:$A$2941,"16")</f>
        <v>0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82">
        <f>SUMIFS(D12:D2941,C12:C2941,"СМП",$A$12:$A$2941,"6")</f>
        <v>3218338.8</v>
      </c>
      <c r="BI5" s="123"/>
      <c r="BJ5" s="123"/>
      <c r="BK5" s="123"/>
      <c r="BL5" s="123"/>
      <c r="BM5" s="123">
        <f>SUM(I5:BL5)</f>
        <v>145894357.40000004</v>
      </c>
      <c r="BN5" s="129" t="s">
        <v>444</v>
      </c>
    </row>
    <row r="6" spans="1:66" ht="17.25">
      <c r="B6" s="228"/>
      <c r="E6" s="127">
        <f t="shared" si="0"/>
        <v>48858276.200000003</v>
      </c>
      <c r="F6" s="135" t="s">
        <v>445</v>
      </c>
      <c r="G6" s="128"/>
      <c r="H6" s="128"/>
      <c r="I6" s="182">
        <f>SUMIFS($D$12:$D$2941,$C$12:$C$2941,"ВСМП",$A$12:$A$2941,"1")</f>
        <v>16546801.099999998</v>
      </c>
      <c r="J6" s="182">
        <f>SUMIFS($D$12:$D$2941,$C$12:$C$2941,"ВСМП",$A$12:$A$2941,"15")</f>
        <v>9235909.2000000011</v>
      </c>
      <c r="K6" s="182">
        <f>SUMIFS($D$12:$D$2941,$C$12:$C$2941,"ВСМП",$A$12:$A$2941,"5")</f>
        <v>0</v>
      </c>
      <c r="L6" s="128"/>
      <c r="M6" s="182">
        <f>SUMIFS($D$12:$D$2941,$C$12:$C$2941,"ВСМП",$A$12:$A$2941,"12")</f>
        <v>0</v>
      </c>
      <c r="N6" s="182">
        <f>SUMIFS(D12:D2941,C12:C2941,"ВСМП",$A$12:$A$2941,"17")</f>
        <v>0</v>
      </c>
      <c r="O6" s="128"/>
      <c r="P6" s="128"/>
      <c r="Q6" s="182">
        <f>SUMIFS(D12:D2941,C12:C2941,"ВСМП",$A$12:$A$2941,"9")</f>
        <v>202527.3</v>
      </c>
      <c r="R6" s="182">
        <f>SUMIFS(D12:D2941,C12:C2941,"ВСМП",$A$12:$A$2941,"13")</f>
        <v>0</v>
      </c>
      <c r="S6" s="128"/>
      <c r="T6" s="128"/>
      <c r="U6" s="182">
        <f>SUMIFS(D12:D2941,C12:C2941,"ВСМП",$A$12:$A$2941,"11")</f>
        <v>12392355.600000001</v>
      </c>
      <c r="V6" s="182">
        <f>SUMIFS(D12:D2941,C12:C2941,"ВСМП",$A$12:$A$2941,"3")</f>
        <v>31478.7</v>
      </c>
      <c r="W6" s="128"/>
      <c r="X6" s="182">
        <f>SUMIFS(D12:D2941,C12:C2941,"ВСМП",$A$12:$A$2941,"18")</f>
        <v>0</v>
      </c>
      <c r="Y6" s="182">
        <f>SUMIFS(D12:D2941,C12:C2941,"ВСМП",$A$12:$A$2941,"4")</f>
        <v>566012.70000000007</v>
      </c>
      <c r="Z6" s="128"/>
      <c r="AA6" s="182">
        <f>SUMIFS(D12:D2941,C12:C2941,"ВСМП",$A$12:$A$2941,"8")</f>
        <v>8017441.0999999996</v>
      </c>
      <c r="AB6" s="128"/>
      <c r="AC6" s="128"/>
      <c r="AD6" s="128"/>
      <c r="AE6" s="128"/>
      <c r="AF6" s="182">
        <f>SUMIFS(D12:D2941,C12:C2941,"ВСМП",$A$12:$A$2941,"2")</f>
        <v>748883.3</v>
      </c>
      <c r="AG6" s="128"/>
      <c r="AH6" s="128"/>
      <c r="AI6" s="128"/>
      <c r="AJ6" s="123"/>
      <c r="AK6" s="123"/>
      <c r="AL6" s="182">
        <f>SUMIFS(D12:D2941,C12:C2941,"ВСМП",$A$12:$A$2941,"14")</f>
        <v>6886.4</v>
      </c>
      <c r="AM6" s="182">
        <f>SUMIFS(D12:D2941,C12:C2941,"ВСМП",$A$12:$A$2941,"10")</f>
        <v>0</v>
      </c>
      <c r="AN6" s="123"/>
      <c r="AO6" s="182">
        <f>SUMIFS(D12:D2941,C12:C2941,"ВСМП",$A$12:$A$2941,"7")</f>
        <v>6752.9</v>
      </c>
      <c r="AP6" s="123"/>
      <c r="AQ6" s="182">
        <f>SUMIFS(D12:D2941,C12:C2941,"ВСМП",$A$12:$A$2941,"16")</f>
        <v>0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82">
        <f>SUMIFS(D12:D2941,C12:C2941,"ВСМП",$A$12:$A$2941,"6")</f>
        <v>1103227.8999999999</v>
      </c>
      <c r="BI6" s="123"/>
      <c r="BJ6" s="123"/>
      <c r="BK6" s="123"/>
      <c r="BL6" s="123"/>
      <c r="BM6" s="123">
        <f>SUM(I6:BL6)</f>
        <v>48858276.200000003</v>
      </c>
      <c r="BN6" s="129" t="s">
        <v>445</v>
      </c>
    </row>
    <row r="7" spans="1:66" ht="17.25">
      <c r="E7" s="127">
        <f t="shared" si="0"/>
        <v>25753739.300000008</v>
      </c>
      <c r="F7" s="135" t="s">
        <v>446</v>
      </c>
      <c r="G7" s="128"/>
      <c r="H7" s="128"/>
      <c r="I7" s="182">
        <f>SUMIFS($D$12:$D$2941,$C$12:$C$2941,"СЗП",$A$12:$A$2941,"1")</f>
        <v>8928828.1000000052</v>
      </c>
      <c r="J7" s="182">
        <f>SUMIFS(D12:D2941,C12:C2941,"СЗП",$A$12:$A$2941,"15")</f>
        <v>140237.5</v>
      </c>
      <c r="K7" s="182">
        <f>SUMIFS($D$12:$D$2941,$C$12:$C$2941,"СЗП",$A$12:$A$2941,"5")</f>
        <v>1442556.2</v>
      </c>
      <c r="L7" s="128"/>
      <c r="M7" s="182">
        <f>SUMIFS($D$12:$D$2941,$C$12:$C$2941,"СЗП",$A$12:$A$2941,"12")</f>
        <v>0</v>
      </c>
      <c r="N7" s="182">
        <f>SUMIFS(D12:D2941,C12:C2941,"СЗП",$A$12:$A$2941,"17")</f>
        <v>0</v>
      </c>
      <c r="O7" s="128"/>
      <c r="P7" s="128"/>
      <c r="Q7" s="182">
        <f>SUMIFS(D12:D2941,C12:C2941,"СЗП",$A$12:$A$2941,"9")</f>
        <v>417867.10000000003</v>
      </c>
      <c r="R7" s="182">
        <f>SUMIFS(D12:D2941,C12:C2941,"СЗП",$A$12:$A$2941,"13")</f>
        <v>0</v>
      </c>
      <c r="S7" s="128"/>
      <c r="T7" s="128"/>
      <c r="U7" s="182">
        <f>SUMIFS(D12:D2941,C12:C2941,"СЗП",$A$12:$A$2941,"11")</f>
        <v>108035.90000000001</v>
      </c>
      <c r="V7" s="182">
        <f>SUMIFS(D12:D2941,C12:C2941,"СЗП",$A$12:$A$2941,"3")</f>
        <v>341300.79999999993</v>
      </c>
      <c r="W7" s="128"/>
      <c r="X7" s="182">
        <f>SUMIFS(D12:D2941,C12:C2941,"СЗП",$A$12:$A$2941,"18")</f>
        <v>42658.400000000001</v>
      </c>
      <c r="Y7" s="182">
        <f>SUMIFS(D12:D2941,C12:C2941,"СЗП",$A$12:$A$2941,"4")</f>
        <v>1324893.2000000002</v>
      </c>
      <c r="Z7" s="128"/>
      <c r="AA7" s="182">
        <f>SUMIFS(D12:D2941,C12:C2941,"СЗП",$A$12:$A$2941,"8")</f>
        <v>1253355.7</v>
      </c>
      <c r="AB7" s="128"/>
      <c r="AC7" s="128"/>
      <c r="AD7" s="128"/>
      <c r="AE7" s="128"/>
      <c r="AF7" s="182">
        <f>SUMIFS(D12:D2941,C12:C2941,"СЗП",$A$12:$A$2941,"2")</f>
        <v>8864322.1000000015</v>
      </c>
      <c r="AG7" s="128"/>
      <c r="AH7" s="128"/>
      <c r="AI7" s="128"/>
      <c r="AJ7" s="123"/>
      <c r="AK7" s="123"/>
      <c r="AL7" s="182">
        <f>SUMIFS(D12:D2941,C12:C2941,"СЗП",$A$12:$A$2941,"14")</f>
        <v>46868.2</v>
      </c>
      <c r="AM7" s="182">
        <f>SUMIFS(D12:D2941,C12:C2941,"СЗП",$A$12:$A$2941,"10")</f>
        <v>2558201.2000000002</v>
      </c>
      <c r="AN7" s="123"/>
      <c r="AO7" s="182">
        <f>SUMIFS(D12:D2941,C12:C2941,"СЗП",$A$12:$A$2941,"7")</f>
        <v>179393.1</v>
      </c>
      <c r="AP7" s="123"/>
      <c r="AQ7" s="182">
        <f>SUMIFS(D12:D2941,C12:C2941,"СЗП",$A$12:$A$2941,"16")</f>
        <v>10479.200000000001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82">
        <f>SUMIFS(D12:D2941,C12:C2941,"СЗП",$A$12:$A$2941,"6")</f>
        <v>94742.6</v>
      </c>
      <c r="BI7" s="123"/>
      <c r="BJ7" s="123"/>
      <c r="BK7" s="123"/>
      <c r="BL7" s="123"/>
      <c r="BM7" s="123">
        <f>SUM(I7:BL7)</f>
        <v>25753739.300000008</v>
      </c>
      <c r="BN7" s="129" t="s">
        <v>446</v>
      </c>
    </row>
    <row r="8" spans="1:66" ht="17.25">
      <c r="B8" s="434" t="s">
        <v>1570</v>
      </c>
      <c r="E8" s="127">
        <f t="shared" si="0"/>
        <v>1347927.9</v>
      </c>
      <c r="F8" s="135" t="s">
        <v>1253</v>
      </c>
      <c r="G8" s="130"/>
      <c r="H8" s="130"/>
      <c r="I8" s="183">
        <f>SUMIFS($D$12:$D$2941,$C$12:$C$2941,"КДУ",$A$12:$A$2941,"1")</f>
        <v>189082.6</v>
      </c>
      <c r="J8" s="183">
        <f>SUMIFS(D12:D2941,C12:C2941,"КДУ",$A$12:$A$2941,"15")</f>
        <v>17754.3</v>
      </c>
      <c r="K8" s="182">
        <f>SUMIFS($D$12:$D$2941,$C$12:$C$2941,"КДУ",$A$12:$A$2941,"5")</f>
        <v>0</v>
      </c>
      <c r="L8" s="130"/>
      <c r="M8" s="182">
        <f>SUMIFS($D$12:$D$2941,$C$12:$C$2941,"КДУ",$A$12:$A$2941,"12")</f>
        <v>0</v>
      </c>
      <c r="N8" s="182">
        <f>SUMIFS(D12:D2941,C12:C2941,"КДУ",$A$12:$A$2941,"17")</f>
        <v>0</v>
      </c>
      <c r="O8" s="130"/>
      <c r="P8" s="130"/>
      <c r="Q8" s="182">
        <f>SUMIFS(D12:D2941,C12:C2941,"КДУ",$A$12:$A$2941,"9")</f>
        <v>0</v>
      </c>
      <c r="R8" s="182">
        <f>SUMIFS(D12:D2941,C12:C2941,"КДУ",$A$12:$A$2941,"13")</f>
        <v>0</v>
      </c>
      <c r="S8" s="130"/>
      <c r="T8" s="130"/>
      <c r="U8" s="182">
        <f>SUMIFS(D12:D2941,C12:C2941,"КДУ",$A$12:$A$2941,"11")</f>
        <v>0</v>
      </c>
      <c r="V8" s="182">
        <f>SUMIFS(D12:D2941,C12:C2941,"КДУ",$A$12:$A$2941,"3")</f>
        <v>0</v>
      </c>
      <c r="W8" s="130"/>
      <c r="X8" s="182">
        <f>SUMIFS(D12:D2941,C12:C2941,"КДУ",$A$12:$A$2941,"18")</f>
        <v>0</v>
      </c>
      <c r="Y8" s="182">
        <f>SUMIFS(D12:D2941,C12:C2941,"КДУ",$A$12:$A$2941,"4")</f>
        <v>2</v>
      </c>
      <c r="Z8" s="130"/>
      <c r="AA8" s="182">
        <f>SUMIFS(D12:D2941,C12:C2941,"КДУ",$A$12:$A$2941,"8")</f>
        <v>1139500</v>
      </c>
      <c r="AB8" s="130"/>
      <c r="AC8" s="130"/>
      <c r="AD8" s="130"/>
      <c r="AE8" s="130"/>
      <c r="AF8" s="182">
        <f>SUMIFS(D12:D2941,C12:C2941,"КДУ",$A$12:$A$2941,"2")</f>
        <v>1589</v>
      </c>
      <c r="AG8" s="130"/>
      <c r="AH8" s="130"/>
      <c r="AI8" s="130"/>
      <c r="AJ8" s="131"/>
      <c r="AK8" s="131"/>
      <c r="AL8" s="182">
        <f>SUMIFS(D12:D2941,C12:C2941,"КДУ",$A$12:$A$2941,"14")</f>
        <v>0</v>
      </c>
      <c r="AM8" s="182">
        <f>SUMIFS(D12:D2941,C12:C2941,"КДУ",$A$12:$A$2941,"10")</f>
        <v>0</v>
      </c>
      <c r="AN8" s="131"/>
      <c r="AO8" s="182">
        <f>SUMIFS(D12:D2941,C12:C2941,"КДУ",$A$12:$A$2941,"7")</f>
        <v>0</v>
      </c>
      <c r="AP8" s="131"/>
      <c r="AQ8" s="182">
        <f>SUMIFS(D12:D2941,C12:C2941,"КДУ",$A$12:$A$2941,"16")</f>
        <v>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82">
        <f>SUMIFS(D12:D2941,C12:C2941,"КДУ",$A$12:$A$2941,"6")</f>
        <v>0</v>
      </c>
      <c r="BI8" s="131"/>
      <c r="BJ8" s="131"/>
      <c r="BK8" s="131"/>
      <c r="BL8" s="131"/>
      <c r="BM8" s="130">
        <f>SUM(I8:BL8)</f>
        <v>1347927.9</v>
      </c>
      <c r="BN8" s="131"/>
    </row>
    <row r="9" spans="1:66" ht="17.25">
      <c r="E9" s="127">
        <f t="shared" si="0"/>
        <v>1692981.5999999999</v>
      </c>
      <c r="F9" s="135" t="s">
        <v>421</v>
      </c>
      <c r="G9" s="130"/>
      <c r="H9" s="130"/>
      <c r="I9" s="183">
        <f>SUMIFS($D$12:$D$2941,$C$12:$C$2941,"лизинг",$A$12:$A$2941,"1")</f>
        <v>1199999.8999999999</v>
      </c>
      <c r="J9" s="183">
        <f>SUMIFS(D12:D2941,C12:C2941,"лизинг",$A$12:$A$2941,"15")</f>
        <v>81621.100000000006</v>
      </c>
      <c r="K9" s="182">
        <f>SUMIFS($D$12:$D$2941,$C$12:$C$2941,"лизинг",$A$12:$A$2941,"5")</f>
        <v>0</v>
      </c>
      <c r="L9" s="130"/>
      <c r="M9" s="182">
        <f>SUMIFS($D$12:$D$2941,$C$12:$C$2941,"лизинг",$A$12:$A$2941,"12")</f>
        <v>0</v>
      </c>
      <c r="N9" s="182">
        <f>SUMIFS(D12:D2941,C12:C2941,"лизинг",$A$12:$A$2941,"17")</f>
        <v>0</v>
      </c>
      <c r="O9" s="130"/>
      <c r="P9" s="130"/>
      <c r="Q9" s="182">
        <f>SUMIFS(D12:D2941,C12:C2941,"лизинг",$A$12:$A$2941,"9")</f>
        <v>6099.4</v>
      </c>
      <c r="R9" s="182">
        <f>SUMIFS(D12:D2941,C12:C2941,"лизинг",$A$12:$A$2941,"13")</f>
        <v>0</v>
      </c>
      <c r="S9" s="130"/>
      <c r="T9" s="130"/>
      <c r="U9" s="182">
        <f>SUMIFS(D12:D2941,C12:C2941,"лизинг",$A$12:$A$2941,"11")</f>
        <v>44121.3</v>
      </c>
      <c r="V9" s="182">
        <f>SUMIFS(D12:D2941,C12:C2941,"лизинг",$A$12:$A$2941,"3")</f>
        <v>0</v>
      </c>
      <c r="W9" s="130"/>
      <c r="X9" s="182">
        <f>SUMIFS(D12:D2941,C12:C2941,"лизинг",$A$12:$A$2941,"18")</f>
        <v>0</v>
      </c>
      <c r="Y9" s="182">
        <f>SUMIFS(D12:D2941,C12:C2941,"лизинг",$A$12:$A$2941,"4")</f>
        <v>203528.69999999998</v>
      </c>
      <c r="Z9" s="130"/>
      <c r="AA9" s="182">
        <f>SUMIFS(D12:D2941,C12:C2941,"лизинг",$A$12:$A$2941,"8")</f>
        <v>66914.399999999994</v>
      </c>
      <c r="AB9" s="130"/>
      <c r="AC9" s="130"/>
      <c r="AD9" s="130"/>
      <c r="AE9" s="130"/>
      <c r="AF9" s="182">
        <f>SUMIFS(D12:D2941,C12:C2941,"лизинг",$A$12:$A$2941,"2")</f>
        <v>69962.399999999994</v>
      </c>
      <c r="AG9" s="130"/>
      <c r="AH9" s="130"/>
      <c r="AI9" s="130"/>
      <c r="AJ9" s="131"/>
      <c r="AK9" s="131"/>
      <c r="AL9" s="182">
        <f>SUMIFS(D12:D2941,C12:C2941,"лизинг",$A$12:$A$2941,"14")</f>
        <v>9963.2999999999993</v>
      </c>
      <c r="AM9" s="182">
        <f>SUMIFS(D12:D2941,C12:C2941,"лизинг",$A$12:$A$2941,"10")</f>
        <v>0</v>
      </c>
      <c r="AN9" s="131"/>
      <c r="AO9" s="182">
        <f>SUMIFS(D12:D2941,C12:C2941,"лизинг",$A$12:$A$2941,"7")</f>
        <v>0</v>
      </c>
      <c r="AP9" s="131"/>
      <c r="AQ9" s="182">
        <f>SUMIFS(D12:D2941,C12:C2941,"лизинг",$A$12:$A$2941,"16")</f>
        <v>0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82">
        <f>SUMIFS(D12:D2941,C12:C2941,"лизинг",$A$12:$A$2941,"6")</f>
        <v>10771.1</v>
      </c>
      <c r="BI9" s="131"/>
      <c r="BJ9" s="131"/>
      <c r="BK9" s="131"/>
      <c r="BL9" s="131"/>
      <c r="BM9" s="130">
        <f>SUM(I9:BL9)</f>
        <v>1692981.5999999999</v>
      </c>
      <c r="BN9" s="131"/>
    </row>
    <row r="10" spans="1:66" ht="17.25">
      <c r="E10" s="176">
        <f t="shared" si="0"/>
        <v>223547282.39999995</v>
      </c>
      <c r="F10" s="177" t="s">
        <v>46</v>
      </c>
      <c r="G10" s="178"/>
      <c r="H10" s="178"/>
      <c r="I10" s="182">
        <f>SUM(I5:I9)</f>
        <v>107199630.90000001</v>
      </c>
      <c r="J10" s="182">
        <f>SUM(J5:J9)</f>
        <v>15827216.400000002</v>
      </c>
      <c r="K10" s="182">
        <f>SUM(K5:K9)</f>
        <v>3817526.8</v>
      </c>
      <c r="L10" s="182"/>
      <c r="M10" s="182">
        <f>SUM(M5:M9)</f>
        <v>473336.6</v>
      </c>
      <c r="N10" s="182">
        <f>SUM(N5:N9)</f>
        <v>209951.4</v>
      </c>
      <c r="O10" s="182"/>
      <c r="P10" s="182"/>
      <c r="Q10" s="182">
        <f>SUM(Q5:Q9)</f>
        <v>1539765.2</v>
      </c>
      <c r="R10" s="182">
        <f>SUM(R5:R9)</f>
        <v>1625432.8</v>
      </c>
      <c r="S10" s="182"/>
      <c r="T10" s="182"/>
      <c r="U10" s="182">
        <f>SUM(U5:U9)</f>
        <v>21836179.100000001</v>
      </c>
      <c r="V10" s="182">
        <f>SUM(V5:V9)</f>
        <v>1628411.9</v>
      </c>
      <c r="W10" s="182"/>
      <c r="X10" s="182">
        <f>SUM(X5:X9)</f>
        <v>253060.69999999998</v>
      </c>
      <c r="Y10" s="182">
        <f>SUM(Y5:Y9)</f>
        <v>29957248.600000001</v>
      </c>
      <c r="Z10" s="182"/>
      <c r="AA10" s="182">
        <f>SUM(AA5:AA9)</f>
        <v>17942790.299999997</v>
      </c>
      <c r="AB10" s="182"/>
      <c r="AC10" s="182"/>
      <c r="AD10" s="182"/>
      <c r="AE10" s="182"/>
      <c r="AF10" s="182">
        <f>SUM(AF5:AF9)</f>
        <v>13626842.200000003</v>
      </c>
      <c r="AG10" s="182"/>
      <c r="AH10" s="182"/>
      <c r="AI10" s="182"/>
      <c r="AJ10" s="182"/>
      <c r="AK10" s="182"/>
      <c r="AL10" s="182">
        <f>SUM(AL5:AL9)</f>
        <v>119767.2</v>
      </c>
      <c r="AM10" s="182">
        <f>SUM(AM5:AM9)</f>
        <v>2677374</v>
      </c>
      <c r="AN10" s="182"/>
      <c r="AO10" s="182">
        <f>SUM(AO5:AO9)</f>
        <v>375188.7</v>
      </c>
      <c r="AP10" s="182"/>
      <c r="AQ10" s="182">
        <f>SUM(AQ5:AQ9)</f>
        <v>10479.200000000001</v>
      </c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>
        <f>SUM(BH5:BH9)</f>
        <v>4427080.3999999985</v>
      </c>
      <c r="BI10" s="182"/>
      <c r="BJ10" s="182"/>
      <c r="BK10" s="182"/>
      <c r="BL10" s="182"/>
      <c r="BM10" s="182">
        <f>SUM(BM5:BM9)</f>
        <v>223547282.40000004</v>
      </c>
      <c r="BN10" s="182"/>
    </row>
    <row r="11" spans="1:66" ht="17.25">
      <c r="E11" s="127"/>
      <c r="F11" s="127"/>
    </row>
    <row r="12" spans="1:66">
      <c r="A12">
        <v>1</v>
      </c>
      <c r="B12" s="1323" t="s">
        <v>722</v>
      </c>
      <c r="C12" t="s">
        <v>444</v>
      </c>
      <c r="D12" s="113">
        <v>577932</v>
      </c>
    </row>
    <row r="13" spans="1:66">
      <c r="A13">
        <v>1</v>
      </c>
      <c r="B13" s="1324"/>
      <c r="C13" t="s">
        <v>445</v>
      </c>
      <c r="D13" s="113">
        <v>2355</v>
      </c>
      <c r="H13" s="109" t="s">
        <v>1247</v>
      </c>
      <c r="I13" s="109">
        <v>1</v>
      </c>
    </row>
    <row r="14" spans="1:66">
      <c r="A14">
        <v>1</v>
      </c>
      <c r="B14" s="1324"/>
      <c r="C14" t="s">
        <v>446</v>
      </c>
      <c r="D14" s="113">
        <v>0</v>
      </c>
      <c r="H14" s="109" t="s">
        <v>1248</v>
      </c>
      <c r="I14" s="109">
        <v>2</v>
      </c>
    </row>
    <row r="15" spans="1:66">
      <c r="A15">
        <v>1</v>
      </c>
      <c r="B15" s="1324"/>
      <c r="C15" t="s">
        <v>1253</v>
      </c>
      <c r="D15" s="113">
        <v>0</v>
      </c>
      <c r="H15" s="109"/>
      <c r="I15" s="109"/>
      <c r="K15" s="13"/>
    </row>
    <row r="16" spans="1:66">
      <c r="A16">
        <v>1</v>
      </c>
      <c r="B16" s="1324"/>
      <c r="C16" t="s">
        <v>421</v>
      </c>
      <c r="D16" s="113">
        <v>6667</v>
      </c>
      <c r="H16" s="109"/>
      <c r="I16" s="109"/>
      <c r="K16" s="435"/>
    </row>
    <row r="17" spans="1:18">
      <c r="A17" s="107">
        <v>2</v>
      </c>
      <c r="B17" s="1326" t="s">
        <v>723</v>
      </c>
      <c r="C17" t="s">
        <v>444</v>
      </c>
      <c r="D17" s="113">
        <v>0</v>
      </c>
      <c r="H17" s="109"/>
      <c r="I17" s="109"/>
      <c r="K17" s="436"/>
    </row>
    <row r="18" spans="1:18">
      <c r="A18" s="107">
        <v>2</v>
      </c>
      <c r="B18" s="1327"/>
      <c r="C18" t="s">
        <v>445</v>
      </c>
      <c r="D18" s="113">
        <v>0</v>
      </c>
      <c r="H18" s="109" t="s">
        <v>1249</v>
      </c>
      <c r="I18" s="109">
        <v>3</v>
      </c>
      <c r="K18" s="436"/>
    </row>
    <row r="19" spans="1:18">
      <c r="A19" s="107">
        <v>2</v>
      </c>
      <c r="B19" s="1327"/>
      <c r="C19" t="s">
        <v>446</v>
      </c>
      <c r="D19" s="113">
        <v>35575.199999999997</v>
      </c>
      <c r="H19" s="109" t="s">
        <v>1250</v>
      </c>
      <c r="I19" s="109">
        <v>4</v>
      </c>
      <c r="K19" s="436"/>
    </row>
    <row r="20" spans="1:18">
      <c r="A20" s="107">
        <v>2</v>
      </c>
      <c r="B20" s="1327"/>
      <c r="C20" t="s">
        <v>1253</v>
      </c>
      <c r="D20" s="113">
        <v>0</v>
      </c>
      <c r="H20" s="109" t="s">
        <v>1251</v>
      </c>
      <c r="I20" s="109">
        <v>5</v>
      </c>
      <c r="K20" s="436"/>
      <c r="N20" s="13"/>
      <c r="O20" s="13"/>
      <c r="P20" s="13"/>
      <c r="Q20" s="13"/>
      <c r="R20" s="13"/>
    </row>
    <row r="21" spans="1:18">
      <c r="A21" s="107">
        <v>2</v>
      </c>
      <c r="B21" s="1327"/>
      <c r="C21" t="s">
        <v>421</v>
      </c>
      <c r="D21" s="113">
        <v>0</v>
      </c>
      <c r="H21" s="109"/>
      <c r="I21" s="109"/>
      <c r="K21" s="436"/>
      <c r="N21" s="13"/>
      <c r="O21" s="13"/>
      <c r="P21" s="13"/>
      <c r="Q21" s="13"/>
      <c r="R21" s="13"/>
    </row>
    <row r="22" spans="1:18">
      <c r="A22">
        <v>1</v>
      </c>
      <c r="B22" s="1323" t="s">
        <v>724</v>
      </c>
      <c r="C22" t="s">
        <v>444</v>
      </c>
      <c r="D22" s="113">
        <v>0</v>
      </c>
      <c r="H22" s="109"/>
      <c r="I22" s="109"/>
      <c r="K22" s="13"/>
      <c r="N22" s="13"/>
      <c r="O22" s="1330"/>
      <c r="P22" s="1330"/>
      <c r="Q22" s="13"/>
      <c r="R22" s="13"/>
    </row>
    <row r="23" spans="1:18">
      <c r="A23">
        <v>1</v>
      </c>
      <c r="B23" s="1324"/>
      <c r="C23" t="s">
        <v>445</v>
      </c>
      <c r="D23" s="113">
        <v>0</v>
      </c>
      <c r="H23" s="109"/>
      <c r="I23" s="109"/>
      <c r="K23" s="13"/>
      <c r="N23" s="13"/>
      <c r="O23" s="1330"/>
      <c r="P23" s="1330"/>
      <c r="Q23" s="13"/>
      <c r="R23" s="13"/>
    </row>
    <row r="24" spans="1:18">
      <c r="A24">
        <v>1</v>
      </c>
      <c r="B24" s="1324"/>
      <c r="C24" t="s">
        <v>446</v>
      </c>
      <c r="D24" s="113">
        <v>43349.5</v>
      </c>
      <c r="H24" s="109" t="s">
        <v>1252</v>
      </c>
      <c r="I24" s="109">
        <v>6</v>
      </c>
      <c r="K24" s="437"/>
      <c r="N24" s="13"/>
      <c r="O24" s="1330"/>
      <c r="P24" s="1330"/>
      <c r="Q24" s="13"/>
      <c r="R24" s="13"/>
    </row>
    <row r="25" spans="1:18">
      <c r="A25">
        <v>1</v>
      </c>
      <c r="B25" s="1324"/>
      <c r="C25" t="s">
        <v>1253</v>
      </c>
      <c r="D25" s="113">
        <v>0</v>
      </c>
      <c r="H25" s="109" t="s">
        <v>1253</v>
      </c>
      <c r="I25" s="109">
        <v>7</v>
      </c>
      <c r="K25" s="13"/>
      <c r="N25" s="13"/>
      <c r="O25" s="1330"/>
      <c r="P25" s="1330"/>
      <c r="Q25" s="13"/>
      <c r="R25" s="13"/>
    </row>
    <row r="26" spans="1:18">
      <c r="A26">
        <v>1</v>
      </c>
      <c r="B26" s="1324"/>
      <c r="C26" t="s">
        <v>421</v>
      </c>
      <c r="D26" s="113">
        <v>0</v>
      </c>
      <c r="H26" s="109" t="s">
        <v>1254</v>
      </c>
      <c r="I26" s="109">
        <v>8</v>
      </c>
      <c r="N26" s="13"/>
      <c r="O26" s="1330"/>
      <c r="P26" s="1330"/>
      <c r="Q26" s="13"/>
      <c r="R26" s="13"/>
    </row>
    <row r="27" spans="1:18">
      <c r="A27" s="107">
        <v>3</v>
      </c>
      <c r="B27" s="1323" t="s">
        <v>725</v>
      </c>
      <c r="C27" t="s">
        <v>444</v>
      </c>
      <c r="D27" s="113">
        <v>32696.799999999999</v>
      </c>
      <c r="H27" s="109"/>
      <c r="I27" s="109"/>
      <c r="N27" s="13"/>
      <c r="O27" s="13"/>
      <c r="P27" s="13"/>
      <c r="Q27" s="13"/>
      <c r="R27" s="13"/>
    </row>
    <row r="28" spans="1:18">
      <c r="A28" s="107">
        <v>3</v>
      </c>
      <c r="B28" s="1324"/>
      <c r="C28" t="s">
        <v>445</v>
      </c>
      <c r="D28" s="113">
        <v>0</v>
      </c>
      <c r="H28" s="109"/>
      <c r="I28" s="109"/>
      <c r="N28" s="13"/>
      <c r="O28" s="13"/>
      <c r="P28" s="13"/>
      <c r="Q28" s="13"/>
      <c r="R28" s="13"/>
    </row>
    <row r="29" spans="1:18">
      <c r="A29" s="107">
        <v>3</v>
      </c>
      <c r="B29" s="1324"/>
      <c r="C29" t="s">
        <v>446</v>
      </c>
      <c r="D29" s="113">
        <v>29656.799999999999</v>
      </c>
      <c r="H29" s="109"/>
      <c r="I29" s="109"/>
      <c r="N29" s="13"/>
      <c r="O29" s="13"/>
      <c r="P29" s="13"/>
      <c r="Q29" s="13"/>
      <c r="R29" s="13"/>
    </row>
    <row r="30" spans="1:18">
      <c r="A30" s="107">
        <v>3</v>
      </c>
      <c r="B30" s="1324"/>
      <c r="C30" t="s">
        <v>1253</v>
      </c>
      <c r="D30" s="113">
        <v>0</v>
      </c>
      <c r="H30" s="109" t="s">
        <v>1255</v>
      </c>
      <c r="I30" s="109">
        <v>9</v>
      </c>
      <c r="N30" s="13"/>
      <c r="O30" s="13"/>
      <c r="P30" s="13"/>
      <c r="Q30" s="13"/>
      <c r="R30" s="13"/>
    </row>
    <row r="31" spans="1:18" ht="102">
      <c r="A31" s="107">
        <v>3</v>
      </c>
      <c r="B31" s="1324"/>
      <c r="C31" t="s">
        <v>421</v>
      </c>
      <c r="D31" s="113">
        <v>0</v>
      </c>
      <c r="H31" s="109" t="s">
        <v>1257</v>
      </c>
      <c r="I31" s="109">
        <v>10</v>
      </c>
      <c r="K31" s="226" t="s">
        <v>261</v>
      </c>
      <c r="L31" s="226"/>
      <c r="M31" s="227" t="s">
        <v>262</v>
      </c>
      <c r="N31" s="228">
        <v>240198331.55250001</v>
      </c>
    </row>
    <row r="32" spans="1:18" ht="29.25" customHeight="1">
      <c r="A32">
        <v>1</v>
      </c>
      <c r="B32" s="1323" t="s">
        <v>726</v>
      </c>
      <c r="C32" t="s">
        <v>444</v>
      </c>
      <c r="D32" s="113">
        <v>73679.600000000006</v>
      </c>
      <c r="H32" s="109" t="s">
        <v>1256</v>
      </c>
      <c r="I32" s="109">
        <v>11</v>
      </c>
      <c r="K32" s="226"/>
      <c r="L32" s="226" t="s">
        <v>257</v>
      </c>
      <c r="M32" s="227" t="s">
        <v>263</v>
      </c>
      <c r="N32" s="228">
        <v>176908484.61250001</v>
      </c>
    </row>
    <row r="33" spans="1:14" ht="51">
      <c r="A33">
        <v>1</v>
      </c>
      <c r="B33" s="1324"/>
      <c r="C33" t="s">
        <v>445</v>
      </c>
      <c r="D33" s="113">
        <v>14382</v>
      </c>
      <c r="H33" s="109"/>
      <c r="I33" s="109"/>
      <c r="K33" s="226"/>
      <c r="L33" s="226" t="s">
        <v>259</v>
      </c>
      <c r="M33" s="227" t="s">
        <v>264</v>
      </c>
      <c r="N33" s="228">
        <v>50995349.362800002</v>
      </c>
    </row>
    <row r="34" spans="1:14" ht="38.25">
      <c r="A34">
        <v>1</v>
      </c>
      <c r="B34" s="1324"/>
      <c r="C34" t="s">
        <v>446</v>
      </c>
      <c r="D34" s="113">
        <v>15188.3</v>
      </c>
      <c r="H34" s="109"/>
      <c r="I34" s="109"/>
      <c r="K34" s="226"/>
      <c r="L34" s="226" t="s">
        <v>265</v>
      </c>
      <c r="M34" s="227" t="s">
        <v>266</v>
      </c>
      <c r="N34" s="228">
        <v>5441435</v>
      </c>
    </row>
    <row r="35" spans="1:14" ht="51">
      <c r="A35">
        <v>1</v>
      </c>
      <c r="B35" s="1324"/>
      <c r="C35" t="s">
        <v>1253</v>
      </c>
      <c r="D35" s="113">
        <v>0</v>
      </c>
      <c r="H35" s="109"/>
      <c r="I35" s="109"/>
      <c r="K35" s="226"/>
      <c r="L35" s="226" t="s">
        <v>267</v>
      </c>
      <c r="M35" s="227" t="s">
        <v>268</v>
      </c>
      <c r="N35" s="228">
        <v>4089283</v>
      </c>
    </row>
    <row r="36" spans="1:14" ht="25.5">
      <c r="A36">
        <v>1</v>
      </c>
      <c r="B36" s="1325"/>
      <c r="C36" t="s">
        <v>421</v>
      </c>
      <c r="D36" s="113">
        <v>0</v>
      </c>
      <c r="H36" s="109" t="s">
        <v>1258</v>
      </c>
      <c r="I36" s="109">
        <v>12</v>
      </c>
      <c r="K36" s="226"/>
      <c r="L36" s="226" t="s">
        <v>269</v>
      </c>
      <c r="M36" s="227" t="s">
        <v>270</v>
      </c>
      <c r="N36" s="228">
        <v>170216.96400000001</v>
      </c>
    </row>
    <row r="37" spans="1:14" ht="51">
      <c r="A37" s="107">
        <v>4</v>
      </c>
      <c r="B37" s="1323" t="s">
        <v>727</v>
      </c>
      <c r="C37" t="s">
        <v>444</v>
      </c>
      <c r="D37" s="113">
        <v>662550</v>
      </c>
      <c r="H37" s="109" t="s">
        <v>1259</v>
      </c>
      <c r="I37" s="109">
        <v>13</v>
      </c>
      <c r="K37" s="226"/>
      <c r="L37" s="226" t="s">
        <v>271</v>
      </c>
      <c r="M37" s="227" t="s">
        <v>272</v>
      </c>
      <c r="N37" s="228">
        <v>2593562.6132700001</v>
      </c>
    </row>
    <row r="38" spans="1:14">
      <c r="A38" s="107">
        <v>4</v>
      </c>
      <c r="B38" s="1324"/>
      <c r="C38" t="s">
        <v>445</v>
      </c>
      <c r="D38" s="113">
        <v>0</v>
      </c>
      <c r="H38" s="109" t="s">
        <v>1260</v>
      </c>
      <c r="I38" s="109">
        <v>14</v>
      </c>
    </row>
    <row r="39" spans="1:14">
      <c r="A39" s="107">
        <v>4</v>
      </c>
      <c r="B39" s="1324"/>
      <c r="C39" t="s">
        <v>446</v>
      </c>
      <c r="D39" s="113">
        <v>0</v>
      </c>
      <c r="H39" s="109"/>
      <c r="I39" s="109"/>
    </row>
    <row r="40" spans="1:14">
      <c r="A40" s="107">
        <v>4</v>
      </c>
      <c r="B40" s="1324"/>
      <c r="C40" t="s">
        <v>1253</v>
      </c>
      <c r="D40" s="113">
        <v>0</v>
      </c>
      <c r="H40" s="109"/>
      <c r="I40" s="109"/>
    </row>
    <row r="41" spans="1:14" ht="15.75" customHeight="1">
      <c r="A41" s="107">
        <v>4</v>
      </c>
      <c r="B41" s="1324"/>
      <c r="C41" t="s">
        <v>421</v>
      </c>
      <c r="D41" s="113">
        <v>0</v>
      </c>
      <c r="H41" s="109"/>
      <c r="I41" s="109"/>
    </row>
    <row r="42" spans="1:14">
      <c r="A42">
        <v>1</v>
      </c>
      <c r="B42" s="1323" t="s">
        <v>728</v>
      </c>
      <c r="C42" t="s">
        <v>444</v>
      </c>
      <c r="D42" s="113">
        <v>653331.80000000005</v>
      </c>
      <c r="H42" s="109" t="s">
        <v>1261</v>
      </c>
      <c r="I42" s="109">
        <v>15</v>
      </c>
    </row>
    <row r="43" spans="1:14">
      <c r="A43">
        <v>1</v>
      </c>
      <c r="B43" s="1324"/>
      <c r="C43" t="s">
        <v>445</v>
      </c>
      <c r="D43" s="113">
        <v>0</v>
      </c>
      <c r="H43" s="108" t="s">
        <v>1276</v>
      </c>
      <c r="I43" s="110">
        <v>16</v>
      </c>
    </row>
    <row r="44" spans="1:14">
      <c r="A44">
        <v>1</v>
      </c>
      <c r="B44" s="1324"/>
      <c r="C44" t="s">
        <v>446</v>
      </c>
      <c r="D44" s="113">
        <v>112278.2</v>
      </c>
      <c r="H44" s="108" t="s">
        <v>1277</v>
      </c>
      <c r="I44" s="110">
        <v>17</v>
      </c>
    </row>
    <row r="45" spans="1:14">
      <c r="A45">
        <v>1</v>
      </c>
      <c r="B45" s="1324"/>
      <c r="C45" t="s">
        <v>1253</v>
      </c>
      <c r="D45" s="113">
        <v>0</v>
      </c>
      <c r="H45" s="108"/>
      <c r="I45" s="110"/>
    </row>
    <row r="46" spans="1:14" ht="10.5" customHeight="1">
      <c r="A46">
        <v>1</v>
      </c>
      <c r="B46" s="1324"/>
      <c r="C46" t="s">
        <v>421</v>
      </c>
      <c r="D46" s="113">
        <v>0</v>
      </c>
      <c r="H46" s="108"/>
      <c r="I46" s="110"/>
    </row>
    <row r="47" spans="1:14">
      <c r="A47">
        <v>1</v>
      </c>
      <c r="B47" s="1323" t="s">
        <v>729</v>
      </c>
      <c r="C47" t="s">
        <v>444</v>
      </c>
      <c r="D47" s="113">
        <v>582028.6</v>
      </c>
      <c r="H47" s="108"/>
      <c r="I47" s="110"/>
    </row>
    <row r="48" spans="1:14" ht="21" customHeight="1">
      <c r="A48">
        <v>1</v>
      </c>
      <c r="B48" s="1324"/>
      <c r="C48" t="s">
        <v>445</v>
      </c>
      <c r="D48" s="113">
        <v>0</v>
      </c>
      <c r="H48" s="108" t="s">
        <v>1278</v>
      </c>
      <c r="I48" s="110">
        <v>18</v>
      </c>
    </row>
    <row r="49" spans="1:4">
      <c r="A49">
        <v>1</v>
      </c>
      <c r="B49" s="1324"/>
      <c r="C49" t="s">
        <v>446</v>
      </c>
      <c r="D49" s="113">
        <v>0</v>
      </c>
    </row>
    <row r="50" spans="1:4">
      <c r="A50">
        <v>1</v>
      </c>
      <c r="B50" s="1324"/>
      <c r="C50" t="s">
        <v>1253</v>
      </c>
      <c r="D50" s="113">
        <v>0</v>
      </c>
    </row>
    <row r="51" spans="1:4">
      <c r="A51">
        <v>1</v>
      </c>
      <c r="B51" s="1324"/>
      <c r="C51" t="s">
        <v>421</v>
      </c>
      <c r="D51" s="113">
        <v>19163.8</v>
      </c>
    </row>
    <row r="52" spans="1:4">
      <c r="A52">
        <v>1</v>
      </c>
      <c r="B52" s="1323" t="s">
        <v>730</v>
      </c>
      <c r="C52" t="s">
        <v>444</v>
      </c>
      <c r="D52" s="113">
        <v>0</v>
      </c>
    </row>
    <row r="53" spans="1:4">
      <c r="A53">
        <v>1</v>
      </c>
      <c r="B53" s="1324"/>
      <c r="C53" t="s">
        <v>445</v>
      </c>
      <c r="D53" s="113">
        <v>0</v>
      </c>
    </row>
    <row r="54" spans="1:4">
      <c r="A54">
        <v>1</v>
      </c>
      <c r="B54" s="1324"/>
      <c r="C54" t="s">
        <v>446</v>
      </c>
      <c r="D54" s="113">
        <v>15689</v>
      </c>
    </row>
    <row r="55" spans="1:4">
      <c r="A55">
        <v>1</v>
      </c>
      <c r="B55" s="1324"/>
      <c r="C55" t="s">
        <v>1253</v>
      </c>
      <c r="D55" s="113">
        <v>0</v>
      </c>
    </row>
    <row r="56" spans="1:4">
      <c r="A56">
        <v>1</v>
      </c>
      <c r="B56" s="1324"/>
      <c r="C56" t="s">
        <v>421</v>
      </c>
      <c r="D56" s="113">
        <v>0</v>
      </c>
    </row>
    <row r="57" spans="1:4">
      <c r="A57" s="107">
        <v>2</v>
      </c>
      <c r="B57" s="1323" t="s">
        <v>731</v>
      </c>
      <c r="C57" t="s">
        <v>444</v>
      </c>
      <c r="D57" s="113">
        <v>1749913.2</v>
      </c>
    </row>
    <row r="58" spans="1:4">
      <c r="A58" s="107">
        <v>2</v>
      </c>
      <c r="B58" s="1324"/>
      <c r="C58" t="s">
        <v>445</v>
      </c>
      <c r="D58" s="113">
        <v>653411</v>
      </c>
    </row>
    <row r="59" spans="1:4">
      <c r="A59" s="107">
        <v>2</v>
      </c>
      <c r="B59" s="1324"/>
      <c r="C59" t="s">
        <v>446</v>
      </c>
      <c r="D59" s="113">
        <v>0</v>
      </c>
    </row>
    <row r="60" spans="1:4">
      <c r="A60" s="107">
        <v>2</v>
      </c>
      <c r="B60" s="1324"/>
      <c r="C60" t="s">
        <v>1253</v>
      </c>
      <c r="D60" s="113">
        <v>0</v>
      </c>
    </row>
    <row r="61" spans="1:4">
      <c r="A61" s="107">
        <v>2</v>
      </c>
      <c r="B61" s="1324"/>
      <c r="C61" t="s">
        <v>421</v>
      </c>
      <c r="D61" s="113">
        <v>56887.8</v>
      </c>
    </row>
    <row r="62" spans="1:4">
      <c r="A62">
        <v>1</v>
      </c>
      <c r="B62" s="1323" t="s">
        <v>732</v>
      </c>
      <c r="C62" t="s">
        <v>444</v>
      </c>
      <c r="D62" s="113">
        <v>0</v>
      </c>
    </row>
    <row r="63" spans="1:4">
      <c r="A63">
        <v>1</v>
      </c>
      <c r="B63" s="1324"/>
      <c r="C63" t="s">
        <v>445</v>
      </c>
      <c r="D63" s="113">
        <v>0</v>
      </c>
    </row>
    <row r="64" spans="1:4">
      <c r="A64">
        <v>1</v>
      </c>
      <c r="B64" s="1324"/>
      <c r="C64" t="s">
        <v>446</v>
      </c>
      <c r="D64" s="113">
        <v>11869.6</v>
      </c>
    </row>
    <row r="65" spans="1:4">
      <c r="A65">
        <v>1</v>
      </c>
      <c r="B65" s="1324"/>
      <c r="C65" t="s">
        <v>1253</v>
      </c>
      <c r="D65" s="113">
        <v>0</v>
      </c>
    </row>
    <row r="66" spans="1:4">
      <c r="A66">
        <v>1</v>
      </c>
      <c r="B66" s="1324"/>
      <c r="C66" t="s">
        <v>421</v>
      </c>
      <c r="D66" s="113">
        <v>0</v>
      </c>
    </row>
    <row r="67" spans="1:4">
      <c r="A67" s="107">
        <v>2</v>
      </c>
      <c r="B67" s="1323" t="s">
        <v>733</v>
      </c>
      <c r="C67" t="s">
        <v>444</v>
      </c>
      <c r="D67" s="113">
        <v>438071.6</v>
      </c>
    </row>
    <row r="68" spans="1:4">
      <c r="A68" s="107">
        <v>2</v>
      </c>
      <c r="B68" s="1324"/>
      <c r="C68" t="s">
        <v>445</v>
      </c>
      <c r="D68" s="113">
        <v>9125.2000000000007</v>
      </c>
    </row>
    <row r="69" spans="1:4">
      <c r="A69" s="107">
        <v>2</v>
      </c>
      <c r="B69" s="1324"/>
      <c r="C69" t="s">
        <v>446</v>
      </c>
      <c r="D69" s="113">
        <v>0</v>
      </c>
    </row>
    <row r="70" spans="1:4">
      <c r="A70" s="107">
        <v>2</v>
      </c>
      <c r="B70" s="1324"/>
      <c r="C70" t="s">
        <v>1253</v>
      </c>
      <c r="D70" s="113">
        <v>0</v>
      </c>
    </row>
    <row r="71" spans="1:4">
      <c r="A71" s="107">
        <v>2</v>
      </c>
      <c r="B71" s="1324"/>
      <c r="C71" t="s">
        <v>421</v>
      </c>
      <c r="D71" s="113">
        <v>0</v>
      </c>
    </row>
    <row r="72" spans="1:4">
      <c r="A72">
        <v>5</v>
      </c>
      <c r="B72" s="1323" t="s">
        <v>734</v>
      </c>
      <c r="C72" t="s">
        <v>444</v>
      </c>
      <c r="D72" s="113">
        <v>0</v>
      </c>
    </row>
    <row r="73" spans="1:4">
      <c r="A73">
        <v>5</v>
      </c>
      <c r="B73" s="1324"/>
      <c r="C73" t="s">
        <v>445</v>
      </c>
      <c r="D73" s="113">
        <v>0</v>
      </c>
    </row>
    <row r="74" spans="1:4">
      <c r="A74">
        <v>5</v>
      </c>
      <c r="B74" s="1324"/>
      <c r="C74" t="s">
        <v>446</v>
      </c>
      <c r="D74" s="113">
        <v>30082.6</v>
      </c>
    </row>
    <row r="75" spans="1:4">
      <c r="A75">
        <v>5</v>
      </c>
      <c r="B75" s="1324"/>
      <c r="C75" t="s">
        <v>1253</v>
      </c>
      <c r="D75" s="113">
        <v>0</v>
      </c>
    </row>
    <row r="76" spans="1:4">
      <c r="A76">
        <v>5</v>
      </c>
      <c r="B76" s="1325"/>
      <c r="C76" t="s">
        <v>421</v>
      </c>
      <c r="D76" s="113">
        <v>0</v>
      </c>
    </row>
    <row r="77" spans="1:4">
      <c r="A77">
        <v>1</v>
      </c>
      <c r="B77" s="1323" t="s">
        <v>735</v>
      </c>
      <c r="C77" t="s">
        <v>444</v>
      </c>
      <c r="D77" s="113">
        <v>45693.1</v>
      </c>
    </row>
    <row r="78" spans="1:4">
      <c r="A78">
        <v>1</v>
      </c>
      <c r="B78" s="1324"/>
      <c r="C78" t="s">
        <v>445</v>
      </c>
      <c r="D78" s="113">
        <v>0</v>
      </c>
    </row>
    <row r="79" spans="1:4">
      <c r="A79">
        <v>1</v>
      </c>
      <c r="B79" s="1324"/>
      <c r="C79" t="s">
        <v>446</v>
      </c>
      <c r="D79" s="113">
        <v>12806.1</v>
      </c>
    </row>
    <row r="80" spans="1:4">
      <c r="A80">
        <v>1</v>
      </c>
      <c r="B80" s="1324"/>
      <c r="C80" t="s">
        <v>1253</v>
      </c>
      <c r="D80" s="113">
        <v>0</v>
      </c>
    </row>
    <row r="81" spans="1:4">
      <c r="A81">
        <v>1</v>
      </c>
      <c r="B81" s="1324"/>
      <c r="C81" t="s">
        <v>421</v>
      </c>
      <c r="D81" s="113">
        <v>0</v>
      </c>
    </row>
    <row r="82" spans="1:4">
      <c r="A82">
        <v>5</v>
      </c>
      <c r="B82" s="1323" t="s">
        <v>736</v>
      </c>
      <c r="C82" t="s">
        <v>444</v>
      </c>
      <c r="D82" s="113">
        <v>0</v>
      </c>
    </row>
    <row r="83" spans="1:4">
      <c r="A83">
        <v>5</v>
      </c>
      <c r="B83" s="1324"/>
      <c r="C83" t="s">
        <v>445</v>
      </c>
      <c r="D83" s="113">
        <v>0</v>
      </c>
    </row>
    <row r="84" spans="1:4">
      <c r="A84">
        <v>5</v>
      </c>
      <c r="B84" s="1324"/>
      <c r="C84" t="s">
        <v>446</v>
      </c>
      <c r="D84" s="113">
        <v>745272.5</v>
      </c>
    </row>
    <row r="85" spans="1:4">
      <c r="A85">
        <v>5</v>
      </c>
      <c r="B85" s="1324"/>
      <c r="C85" t="s">
        <v>1253</v>
      </c>
      <c r="D85" s="113">
        <v>0</v>
      </c>
    </row>
    <row r="86" spans="1:4">
      <c r="A86">
        <v>5</v>
      </c>
      <c r="B86" s="1325"/>
      <c r="C86" t="s">
        <v>421</v>
      </c>
      <c r="D86" s="113">
        <v>0</v>
      </c>
    </row>
    <row r="87" spans="1:4">
      <c r="A87" s="111">
        <v>2</v>
      </c>
      <c r="B87" s="1323" t="s">
        <v>737</v>
      </c>
      <c r="C87" t="s">
        <v>444</v>
      </c>
      <c r="D87" s="113">
        <v>6346.1</v>
      </c>
    </row>
    <row r="88" spans="1:4">
      <c r="A88" s="107">
        <v>2</v>
      </c>
      <c r="B88" s="1324"/>
      <c r="C88" t="s">
        <v>445</v>
      </c>
      <c r="D88" s="113">
        <v>0</v>
      </c>
    </row>
    <row r="89" spans="1:4">
      <c r="A89" s="107">
        <v>2</v>
      </c>
      <c r="B89" s="1324"/>
      <c r="C89" t="s">
        <v>446</v>
      </c>
      <c r="D89" s="113">
        <v>80179.8</v>
      </c>
    </row>
    <row r="90" spans="1:4">
      <c r="A90" s="107">
        <v>2</v>
      </c>
      <c r="B90" s="1324"/>
      <c r="C90" t="s">
        <v>1253</v>
      </c>
      <c r="D90" s="113">
        <v>0</v>
      </c>
    </row>
    <row r="91" spans="1:4">
      <c r="A91" s="107">
        <v>2</v>
      </c>
      <c r="B91" s="1324"/>
      <c r="C91" t="s">
        <v>421</v>
      </c>
      <c r="D91" s="113">
        <v>0</v>
      </c>
    </row>
    <row r="92" spans="1:4">
      <c r="A92" s="107">
        <v>10</v>
      </c>
      <c r="B92" s="1323" t="s">
        <v>738</v>
      </c>
      <c r="C92" t="s">
        <v>444</v>
      </c>
      <c r="D92" s="113">
        <v>0</v>
      </c>
    </row>
    <row r="93" spans="1:4">
      <c r="A93" s="107">
        <v>10</v>
      </c>
      <c r="B93" s="1324"/>
      <c r="C93" t="s">
        <v>445</v>
      </c>
      <c r="D93" s="113">
        <v>0</v>
      </c>
    </row>
    <row r="94" spans="1:4">
      <c r="A94" s="107">
        <v>10</v>
      </c>
      <c r="B94" s="1324"/>
      <c r="C94" t="s">
        <v>446</v>
      </c>
      <c r="D94" s="113">
        <v>46392.9</v>
      </c>
    </row>
    <row r="95" spans="1:4">
      <c r="A95" s="107">
        <v>10</v>
      </c>
      <c r="B95" s="1324"/>
      <c r="C95" t="s">
        <v>1253</v>
      </c>
      <c r="D95" s="113">
        <v>0</v>
      </c>
    </row>
    <row r="96" spans="1:4">
      <c r="A96" s="107">
        <v>10</v>
      </c>
      <c r="B96" s="1324"/>
      <c r="C96" t="s">
        <v>421</v>
      </c>
      <c r="D96" s="113">
        <v>0</v>
      </c>
    </row>
    <row r="97" spans="1:4">
      <c r="A97" s="107">
        <v>2</v>
      </c>
      <c r="B97" s="1323" t="s">
        <v>739</v>
      </c>
      <c r="C97" t="s">
        <v>444</v>
      </c>
      <c r="D97" s="113">
        <v>0</v>
      </c>
    </row>
    <row r="98" spans="1:4">
      <c r="A98" s="107">
        <v>2</v>
      </c>
      <c r="B98" s="1324"/>
      <c r="C98" t="s">
        <v>445</v>
      </c>
      <c r="D98" s="113">
        <v>0</v>
      </c>
    </row>
    <row r="99" spans="1:4">
      <c r="A99" s="107">
        <v>2</v>
      </c>
      <c r="B99" s="1324"/>
      <c r="C99" t="s">
        <v>446</v>
      </c>
      <c r="D99" s="113">
        <v>27527.1</v>
      </c>
    </row>
    <row r="100" spans="1:4">
      <c r="A100" s="107">
        <v>2</v>
      </c>
      <c r="B100" s="1324"/>
      <c r="C100" t="s">
        <v>1253</v>
      </c>
      <c r="D100" s="113">
        <v>0</v>
      </c>
    </row>
    <row r="101" spans="1:4">
      <c r="A101" s="107">
        <v>2</v>
      </c>
      <c r="B101" s="1324"/>
      <c r="C101" t="s">
        <v>421</v>
      </c>
      <c r="D101" s="113">
        <v>0</v>
      </c>
    </row>
    <row r="102" spans="1:4">
      <c r="A102" s="107">
        <v>1</v>
      </c>
      <c r="B102" s="1323" t="s">
        <v>740</v>
      </c>
      <c r="C102" t="s">
        <v>444</v>
      </c>
      <c r="D102" s="113">
        <v>769432.8</v>
      </c>
    </row>
    <row r="103" spans="1:4">
      <c r="A103" s="107">
        <v>1</v>
      </c>
      <c r="B103" s="1324"/>
      <c r="C103" t="s">
        <v>445</v>
      </c>
      <c r="D103" s="113">
        <v>18610.099999999999</v>
      </c>
    </row>
    <row r="104" spans="1:4">
      <c r="A104" s="107">
        <v>1</v>
      </c>
      <c r="B104" s="1324"/>
      <c r="C104" t="s">
        <v>446</v>
      </c>
      <c r="D104" s="113">
        <v>0</v>
      </c>
    </row>
    <row r="105" spans="1:4">
      <c r="A105" s="107">
        <v>1</v>
      </c>
      <c r="B105" s="1324"/>
      <c r="C105" t="s">
        <v>1253</v>
      </c>
      <c r="D105" s="113">
        <v>0</v>
      </c>
    </row>
    <row r="106" spans="1:4">
      <c r="A106" s="107">
        <v>1</v>
      </c>
      <c r="B106" s="1324"/>
      <c r="C106" t="s">
        <v>421</v>
      </c>
      <c r="D106" s="113">
        <v>0</v>
      </c>
    </row>
    <row r="107" spans="1:4">
      <c r="A107" s="107">
        <v>2</v>
      </c>
      <c r="B107" s="1323" t="s">
        <v>741</v>
      </c>
      <c r="C107" t="s">
        <v>444</v>
      </c>
      <c r="D107" s="113">
        <v>0</v>
      </c>
    </row>
    <row r="108" spans="1:4">
      <c r="A108" s="107">
        <v>2</v>
      </c>
      <c r="B108" s="1324"/>
      <c r="C108" t="s">
        <v>445</v>
      </c>
      <c r="D108" s="113">
        <v>0</v>
      </c>
    </row>
    <row r="109" spans="1:4">
      <c r="A109" s="107">
        <v>2</v>
      </c>
      <c r="B109" s="1324"/>
      <c r="C109" t="s">
        <v>446</v>
      </c>
      <c r="D109" s="113">
        <v>65716.100000000006</v>
      </c>
    </row>
    <row r="110" spans="1:4">
      <c r="A110" s="107">
        <v>2</v>
      </c>
      <c r="B110" s="1324"/>
      <c r="C110" t="s">
        <v>1253</v>
      </c>
      <c r="D110" s="113">
        <v>0</v>
      </c>
    </row>
    <row r="111" spans="1:4">
      <c r="A111" s="107">
        <v>2</v>
      </c>
      <c r="B111" s="1324"/>
      <c r="C111" t="s">
        <v>421</v>
      </c>
      <c r="D111" s="113">
        <v>0</v>
      </c>
    </row>
    <row r="112" spans="1:4">
      <c r="A112" s="107">
        <v>2</v>
      </c>
      <c r="B112" s="1323" t="s">
        <v>742</v>
      </c>
      <c r="C112" t="s">
        <v>444</v>
      </c>
      <c r="D112" s="113">
        <v>0</v>
      </c>
    </row>
    <row r="113" spans="1:4">
      <c r="A113" s="107">
        <v>2</v>
      </c>
      <c r="B113" s="1324"/>
      <c r="C113" t="s">
        <v>445</v>
      </c>
      <c r="D113" s="113">
        <v>0</v>
      </c>
    </row>
    <row r="114" spans="1:4">
      <c r="A114" s="107">
        <v>2</v>
      </c>
      <c r="B114" s="1324"/>
      <c r="C114" t="s">
        <v>446</v>
      </c>
      <c r="D114" s="113">
        <v>26399.4</v>
      </c>
    </row>
    <row r="115" spans="1:4">
      <c r="A115" s="107">
        <v>2</v>
      </c>
      <c r="B115" s="1324"/>
      <c r="C115" t="s">
        <v>1253</v>
      </c>
      <c r="D115" s="113">
        <v>0</v>
      </c>
    </row>
    <row r="116" spans="1:4">
      <c r="A116" s="107">
        <v>2</v>
      </c>
      <c r="B116" s="1324"/>
      <c r="C116" t="s">
        <v>421</v>
      </c>
      <c r="D116" s="113">
        <v>0</v>
      </c>
    </row>
    <row r="117" spans="1:4">
      <c r="A117" s="107">
        <v>2</v>
      </c>
      <c r="B117" s="1323" t="s">
        <v>743</v>
      </c>
      <c r="C117" t="s">
        <v>444</v>
      </c>
      <c r="D117" s="113">
        <v>0</v>
      </c>
    </row>
    <row r="118" spans="1:4">
      <c r="A118" s="107">
        <v>2</v>
      </c>
      <c r="B118" s="1324"/>
      <c r="C118" t="s">
        <v>445</v>
      </c>
      <c r="D118" s="113">
        <v>0</v>
      </c>
    </row>
    <row r="119" spans="1:4">
      <c r="A119" s="107">
        <v>2</v>
      </c>
      <c r="B119" s="1324"/>
      <c r="C119" t="s">
        <v>446</v>
      </c>
      <c r="D119" s="113">
        <v>26093.8</v>
      </c>
    </row>
    <row r="120" spans="1:4">
      <c r="A120" s="107">
        <v>2</v>
      </c>
      <c r="B120" s="1324"/>
      <c r="C120" t="s">
        <v>1253</v>
      </c>
      <c r="D120" s="113">
        <v>0</v>
      </c>
    </row>
    <row r="121" spans="1:4">
      <c r="A121" s="107">
        <v>2</v>
      </c>
      <c r="B121" s="1324"/>
      <c r="C121" t="s">
        <v>421</v>
      </c>
      <c r="D121" s="113">
        <v>0</v>
      </c>
    </row>
    <row r="122" spans="1:4">
      <c r="A122" s="107">
        <v>6</v>
      </c>
      <c r="B122" s="1323" t="s">
        <v>744</v>
      </c>
      <c r="C122" t="s">
        <v>444</v>
      </c>
      <c r="D122" s="113">
        <v>624971.4</v>
      </c>
    </row>
    <row r="123" spans="1:4">
      <c r="A123" s="107">
        <v>6</v>
      </c>
      <c r="B123" s="1324"/>
      <c r="C123" t="s">
        <v>445</v>
      </c>
      <c r="D123" s="113">
        <v>340109</v>
      </c>
    </row>
    <row r="124" spans="1:4">
      <c r="A124" s="107">
        <v>6</v>
      </c>
      <c r="B124" s="1324"/>
      <c r="C124" t="s">
        <v>446</v>
      </c>
      <c r="D124" s="113">
        <v>0</v>
      </c>
    </row>
    <row r="125" spans="1:4">
      <c r="A125" s="107">
        <v>6</v>
      </c>
      <c r="B125" s="1324"/>
      <c r="C125" t="s">
        <v>1253</v>
      </c>
      <c r="D125" s="113">
        <v>0</v>
      </c>
    </row>
    <row r="126" spans="1:4">
      <c r="A126" s="107">
        <v>6</v>
      </c>
      <c r="B126" s="1324"/>
      <c r="C126" t="s">
        <v>421</v>
      </c>
      <c r="D126" s="113">
        <v>0</v>
      </c>
    </row>
    <row r="127" spans="1:4">
      <c r="A127" s="107">
        <v>1</v>
      </c>
      <c r="B127" s="1323" t="s">
        <v>745</v>
      </c>
      <c r="C127" t="s">
        <v>444</v>
      </c>
      <c r="D127" s="113">
        <v>320754.90000000002</v>
      </c>
    </row>
    <row r="128" spans="1:4">
      <c r="A128" s="107">
        <v>1</v>
      </c>
      <c r="B128" s="1324"/>
      <c r="C128" t="s">
        <v>445</v>
      </c>
      <c r="D128" s="113">
        <v>0</v>
      </c>
    </row>
    <row r="129" spans="1:4">
      <c r="A129" s="107">
        <v>1</v>
      </c>
      <c r="B129" s="1324"/>
      <c r="C129" t="s">
        <v>446</v>
      </c>
      <c r="D129" s="113">
        <v>0</v>
      </c>
    </row>
    <row r="130" spans="1:4">
      <c r="A130" s="107">
        <v>1</v>
      </c>
      <c r="B130" s="1324"/>
      <c r="C130" t="s">
        <v>1253</v>
      </c>
      <c r="D130" s="113">
        <v>0</v>
      </c>
    </row>
    <row r="131" spans="1:4">
      <c r="A131" s="107">
        <v>1</v>
      </c>
      <c r="B131" s="1325"/>
      <c r="C131" t="s">
        <v>421</v>
      </c>
      <c r="D131" s="113">
        <v>8521.6</v>
      </c>
    </row>
    <row r="132" spans="1:4">
      <c r="A132" s="107">
        <v>1</v>
      </c>
      <c r="B132" s="1323" t="s">
        <v>1511</v>
      </c>
      <c r="C132" t="s">
        <v>444</v>
      </c>
      <c r="D132" s="113">
        <v>0</v>
      </c>
    </row>
    <row r="133" spans="1:4">
      <c r="A133" s="107">
        <v>1</v>
      </c>
      <c r="B133" s="1324"/>
      <c r="C133" t="s">
        <v>445</v>
      </c>
      <c r="D133" s="113">
        <v>0</v>
      </c>
    </row>
    <row r="134" spans="1:4">
      <c r="A134" s="107">
        <v>1</v>
      </c>
      <c r="B134" s="1324"/>
      <c r="C134" t="s">
        <v>446</v>
      </c>
      <c r="D134" s="113">
        <v>5946</v>
      </c>
    </row>
    <row r="135" spans="1:4">
      <c r="A135" s="107">
        <v>1</v>
      </c>
      <c r="B135" s="1324"/>
      <c r="C135" t="s">
        <v>1253</v>
      </c>
      <c r="D135" s="113">
        <v>0</v>
      </c>
    </row>
    <row r="136" spans="1:4">
      <c r="A136" s="107">
        <v>1</v>
      </c>
      <c r="B136" s="1325"/>
      <c r="C136" t="s">
        <v>421</v>
      </c>
      <c r="D136" s="113">
        <v>0</v>
      </c>
    </row>
    <row r="137" spans="1:4">
      <c r="A137" s="107">
        <v>1</v>
      </c>
      <c r="B137" s="1323" t="s">
        <v>746</v>
      </c>
      <c r="C137" t="s">
        <v>444</v>
      </c>
      <c r="D137" s="113">
        <v>303360.8</v>
      </c>
    </row>
    <row r="138" spans="1:4">
      <c r="A138" s="107">
        <v>1</v>
      </c>
      <c r="B138" s="1324"/>
      <c r="C138" t="s">
        <v>445</v>
      </c>
      <c r="D138" s="113">
        <v>0</v>
      </c>
    </row>
    <row r="139" spans="1:4">
      <c r="A139" s="107">
        <v>1</v>
      </c>
      <c r="B139" s="1324"/>
      <c r="C139" t="s">
        <v>446</v>
      </c>
      <c r="D139" s="113">
        <v>32320</v>
      </c>
    </row>
    <row r="140" spans="1:4">
      <c r="A140" s="107">
        <v>1</v>
      </c>
      <c r="B140" s="1324"/>
      <c r="C140" t="s">
        <v>1253</v>
      </c>
      <c r="D140" s="113">
        <v>0</v>
      </c>
    </row>
    <row r="141" spans="1:4">
      <c r="A141" s="107">
        <v>1</v>
      </c>
      <c r="B141" s="1324"/>
      <c r="C141" t="s">
        <v>421</v>
      </c>
      <c r="D141" s="113">
        <v>0</v>
      </c>
    </row>
    <row r="142" spans="1:4">
      <c r="A142" s="107">
        <v>2</v>
      </c>
      <c r="B142" s="1323" t="s">
        <v>747</v>
      </c>
      <c r="C142" t="s">
        <v>444</v>
      </c>
      <c r="D142" s="113">
        <v>0</v>
      </c>
    </row>
    <row r="143" spans="1:4">
      <c r="A143" s="107">
        <v>2</v>
      </c>
      <c r="B143" s="1324"/>
      <c r="C143" t="s">
        <v>445</v>
      </c>
      <c r="D143" s="113">
        <v>0</v>
      </c>
    </row>
    <row r="144" spans="1:4">
      <c r="A144" s="107">
        <v>2</v>
      </c>
      <c r="B144" s="1324"/>
      <c r="C144" t="s">
        <v>446</v>
      </c>
      <c r="D144" s="113">
        <v>5967.2</v>
      </c>
    </row>
    <row r="145" spans="1:4">
      <c r="A145" s="107">
        <v>2</v>
      </c>
      <c r="B145" s="1324"/>
      <c r="C145" t="s">
        <v>1253</v>
      </c>
      <c r="D145" s="113">
        <v>0</v>
      </c>
    </row>
    <row r="146" spans="1:4">
      <c r="A146" s="107">
        <v>2</v>
      </c>
      <c r="B146" s="1324"/>
      <c r="C146" t="s">
        <v>421</v>
      </c>
      <c r="D146" s="113">
        <v>0</v>
      </c>
    </row>
    <row r="147" spans="1:4">
      <c r="A147" s="107">
        <v>1</v>
      </c>
      <c r="B147" s="1323" t="s">
        <v>748</v>
      </c>
      <c r="C147" t="s">
        <v>444</v>
      </c>
      <c r="D147" s="113">
        <v>443111.2</v>
      </c>
    </row>
    <row r="148" spans="1:4">
      <c r="A148" s="107">
        <v>1</v>
      </c>
      <c r="B148" s="1324"/>
      <c r="C148" t="s">
        <v>445</v>
      </c>
      <c r="D148" s="113">
        <v>2364</v>
      </c>
    </row>
    <row r="149" spans="1:4">
      <c r="A149" s="107">
        <v>1</v>
      </c>
      <c r="B149" s="1324"/>
      <c r="C149" t="s">
        <v>446</v>
      </c>
      <c r="D149" s="113">
        <v>19507.2</v>
      </c>
    </row>
    <row r="150" spans="1:4">
      <c r="A150" s="107">
        <v>1</v>
      </c>
      <c r="B150" s="1324"/>
      <c r="C150" t="s">
        <v>1253</v>
      </c>
      <c r="D150" s="113">
        <v>0</v>
      </c>
    </row>
    <row r="151" spans="1:4">
      <c r="A151" s="107">
        <v>1</v>
      </c>
      <c r="B151" s="1324"/>
      <c r="C151" t="s">
        <v>421</v>
      </c>
      <c r="D151" s="113">
        <v>0</v>
      </c>
    </row>
    <row r="152" spans="1:4">
      <c r="A152" s="107">
        <v>7</v>
      </c>
      <c r="B152" s="1323" t="s">
        <v>749</v>
      </c>
      <c r="C152" t="s">
        <v>444</v>
      </c>
      <c r="D152" s="113">
        <v>0</v>
      </c>
    </row>
    <row r="153" spans="1:4">
      <c r="A153" s="107">
        <v>7</v>
      </c>
      <c r="B153" s="1324"/>
      <c r="C153" t="s">
        <v>445</v>
      </c>
      <c r="D153" s="113">
        <v>0</v>
      </c>
    </row>
    <row r="154" spans="1:4">
      <c r="A154" s="107">
        <v>7</v>
      </c>
      <c r="B154" s="1324"/>
      <c r="C154" t="s">
        <v>446</v>
      </c>
      <c r="D154" s="113">
        <v>38328.199999999997</v>
      </c>
    </row>
    <row r="155" spans="1:4">
      <c r="A155" s="107">
        <v>7</v>
      </c>
      <c r="B155" s="1324"/>
      <c r="C155" t="s">
        <v>1253</v>
      </c>
      <c r="D155" s="113">
        <v>0</v>
      </c>
    </row>
    <row r="156" spans="1:4">
      <c r="A156" s="107">
        <v>7</v>
      </c>
      <c r="B156" s="1324"/>
      <c r="C156" t="s">
        <v>421</v>
      </c>
      <c r="D156" s="113">
        <v>0</v>
      </c>
    </row>
    <row r="157" spans="1:4">
      <c r="A157" s="107">
        <v>4</v>
      </c>
      <c r="B157" s="1323" t="s">
        <v>750</v>
      </c>
      <c r="C157" t="s">
        <v>444</v>
      </c>
      <c r="D157" s="113">
        <v>503820.79999999999</v>
      </c>
    </row>
    <row r="158" spans="1:4">
      <c r="A158" s="107">
        <v>4</v>
      </c>
      <c r="B158" s="1324"/>
      <c r="C158" t="s">
        <v>445</v>
      </c>
      <c r="D158" s="113">
        <v>0</v>
      </c>
    </row>
    <row r="159" spans="1:4">
      <c r="A159" s="107">
        <v>4</v>
      </c>
      <c r="B159" s="1324"/>
      <c r="C159" t="s">
        <v>446</v>
      </c>
      <c r="D159" s="113">
        <v>144100.1</v>
      </c>
    </row>
    <row r="160" spans="1:4">
      <c r="A160" s="107">
        <v>4</v>
      </c>
      <c r="B160" s="1324"/>
      <c r="C160" t="s">
        <v>1253</v>
      </c>
      <c r="D160" s="113">
        <v>0</v>
      </c>
    </row>
    <row r="161" spans="1:4">
      <c r="A161" s="107">
        <v>4</v>
      </c>
      <c r="B161" s="1324"/>
      <c r="C161" t="s">
        <v>421</v>
      </c>
      <c r="D161" s="113">
        <v>0</v>
      </c>
    </row>
    <row r="162" spans="1:4">
      <c r="A162" s="107">
        <v>2</v>
      </c>
      <c r="B162" s="1323" t="s">
        <v>751</v>
      </c>
      <c r="C162" t="s">
        <v>444</v>
      </c>
      <c r="D162" s="113">
        <v>3607.9</v>
      </c>
    </row>
    <row r="163" spans="1:4">
      <c r="A163" s="107">
        <v>2</v>
      </c>
      <c r="B163" s="1324"/>
      <c r="C163" t="s">
        <v>445</v>
      </c>
      <c r="D163" s="113">
        <v>3092.5</v>
      </c>
    </row>
    <row r="164" spans="1:4">
      <c r="A164" s="107">
        <v>2</v>
      </c>
      <c r="B164" s="1324"/>
      <c r="C164" t="s">
        <v>446</v>
      </c>
      <c r="D164" s="113">
        <v>0</v>
      </c>
    </row>
    <row r="165" spans="1:4">
      <c r="A165" s="107">
        <v>2</v>
      </c>
      <c r="B165" s="1324"/>
      <c r="C165" t="s">
        <v>1253</v>
      </c>
      <c r="D165" s="113">
        <v>0</v>
      </c>
    </row>
    <row r="166" spans="1:4">
      <c r="A166" s="107">
        <v>2</v>
      </c>
      <c r="B166" s="1324"/>
      <c r="C166" t="s">
        <v>421</v>
      </c>
      <c r="D166" s="113">
        <v>0</v>
      </c>
    </row>
    <row r="167" spans="1:4">
      <c r="A167" s="107">
        <v>2</v>
      </c>
      <c r="B167" s="1323" t="s">
        <v>752</v>
      </c>
      <c r="C167" t="s">
        <v>444</v>
      </c>
      <c r="D167" s="113">
        <v>605560.1</v>
      </c>
    </row>
    <row r="168" spans="1:4">
      <c r="A168" s="107">
        <v>2</v>
      </c>
      <c r="B168" s="1324"/>
      <c r="C168" t="s">
        <v>445</v>
      </c>
      <c r="D168" s="113">
        <v>0</v>
      </c>
    </row>
    <row r="169" spans="1:4">
      <c r="A169" s="107">
        <v>2</v>
      </c>
      <c r="B169" s="1324"/>
      <c r="C169" t="s">
        <v>446</v>
      </c>
      <c r="D169" s="113">
        <v>0</v>
      </c>
    </row>
    <row r="170" spans="1:4">
      <c r="A170" s="107">
        <v>2</v>
      </c>
      <c r="B170" s="1324"/>
      <c r="C170" t="s">
        <v>1253</v>
      </c>
      <c r="D170" s="113">
        <v>0</v>
      </c>
    </row>
    <row r="171" spans="1:4">
      <c r="A171" s="107">
        <v>2</v>
      </c>
      <c r="B171" s="1324"/>
      <c r="C171" t="s">
        <v>421</v>
      </c>
      <c r="D171" s="113">
        <v>0</v>
      </c>
    </row>
    <row r="172" spans="1:4">
      <c r="A172" s="111">
        <v>1</v>
      </c>
      <c r="B172" s="1323" t="s">
        <v>753</v>
      </c>
      <c r="C172" t="s">
        <v>444</v>
      </c>
      <c r="D172" s="113">
        <v>1054143</v>
      </c>
    </row>
    <row r="173" spans="1:4">
      <c r="A173" s="111">
        <v>1</v>
      </c>
      <c r="B173" s="1324"/>
      <c r="C173" t="s">
        <v>445</v>
      </c>
      <c r="D173" s="113">
        <v>159655.70000000001</v>
      </c>
    </row>
    <row r="174" spans="1:4">
      <c r="A174" s="111">
        <v>1</v>
      </c>
      <c r="B174" s="1324"/>
      <c r="C174" t="s">
        <v>446</v>
      </c>
      <c r="D174" s="113">
        <v>0</v>
      </c>
    </row>
    <row r="175" spans="1:4">
      <c r="A175" s="111">
        <v>1</v>
      </c>
      <c r="B175" s="1324"/>
      <c r="C175" t="s">
        <v>1253</v>
      </c>
      <c r="D175" s="113">
        <v>0</v>
      </c>
    </row>
    <row r="176" spans="1:4">
      <c r="A176" s="111">
        <v>1</v>
      </c>
      <c r="B176" s="1324"/>
      <c r="C176" t="s">
        <v>421</v>
      </c>
      <c r="D176" s="113">
        <v>0</v>
      </c>
    </row>
    <row r="177" spans="1:4">
      <c r="A177" s="107">
        <v>15</v>
      </c>
      <c r="B177" s="1323" t="s">
        <v>754</v>
      </c>
      <c r="C177" t="s">
        <v>444</v>
      </c>
      <c r="D177" s="113">
        <v>3047.1</v>
      </c>
    </row>
    <row r="178" spans="1:4">
      <c r="A178" s="107">
        <v>15</v>
      </c>
      <c r="B178" s="1324"/>
      <c r="C178" t="s">
        <v>445</v>
      </c>
      <c r="D178" s="113">
        <v>0</v>
      </c>
    </row>
    <row r="179" spans="1:4">
      <c r="A179" s="107">
        <v>15</v>
      </c>
      <c r="B179" s="1324"/>
      <c r="C179" t="s">
        <v>446</v>
      </c>
      <c r="D179" s="113">
        <v>0</v>
      </c>
    </row>
    <row r="180" spans="1:4">
      <c r="A180" s="107">
        <v>15</v>
      </c>
      <c r="B180" s="1324"/>
      <c r="C180" t="s">
        <v>1253</v>
      </c>
      <c r="D180" s="113">
        <v>0</v>
      </c>
    </row>
    <row r="181" spans="1:4">
      <c r="A181" s="107">
        <v>15</v>
      </c>
      <c r="B181" s="1325"/>
      <c r="C181" t="s">
        <v>421</v>
      </c>
      <c r="D181" s="113">
        <v>0</v>
      </c>
    </row>
    <row r="182" spans="1:4">
      <c r="A182" s="107">
        <v>3</v>
      </c>
      <c r="B182" s="1323" t="s">
        <v>755</v>
      </c>
      <c r="C182" t="s">
        <v>444</v>
      </c>
      <c r="D182" s="113">
        <v>80275.8</v>
      </c>
    </row>
    <row r="183" spans="1:4">
      <c r="A183" s="107">
        <v>3</v>
      </c>
      <c r="B183" s="1324"/>
      <c r="C183" t="s">
        <v>445</v>
      </c>
      <c r="D183" s="113">
        <v>0</v>
      </c>
    </row>
    <row r="184" spans="1:4">
      <c r="A184" s="107">
        <v>3</v>
      </c>
      <c r="B184" s="1324"/>
      <c r="C184" t="s">
        <v>446</v>
      </c>
      <c r="D184" s="113">
        <v>0</v>
      </c>
    </row>
    <row r="185" spans="1:4">
      <c r="A185" s="107">
        <v>3</v>
      </c>
      <c r="B185" s="1324"/>
      <c r="C185" t="s">
        <v>1253</v>
      </c>
      <c r="D185" s="113">
        <v>0</v>
      </c>
    </row>
    <row r="186" spans="1:4">
      <c r="A186" s="107">
        <v>3</v>
      </c>
      <c r="B186" s="1324"/>
      <c r="C186" t="s">
        <v>421</v>
      </c>
      <c r="D186" s="113">
        <v>0</v>
      </c>
    </row>
    <row r="187" spans="1:4">
      <c r="A187" s="107">
        <v>5</v>
      </c>
      <c r="B187" s="1323" t="s">
        <v>756</v>
      </c>
      <c r="C187" t="s">
        <v>444</v>
      </c>
      <c r="D187" s="113">
        <v>0</v>
      </c>
    </row>
    <row r="188" spans="1:4">
      <c r="A188" s="107">
        <v>5</v>
      </c>
      <c r="B188" s="1324"/>
      <c r="C188" t="s">
        <v>445</v>
      </c>
      <c r="D188" s="113">
        <v>0</v>
      </c>
    </row>
    <row r="189" spans="1:4">
      <c r="A189" s="107">
        <v>5</v>
      </c>
      <c r="B189" s="1324"/>
      <c r="C189" t="s">
        <v>446</v>
      </c>
      <c r="D189" s="113">
        <v>650745.1</v>
      </c>
    </row>
    <row r="190" spans="1:4">
      <c r="A190" s="107">
        <v>5</v>
      </c>
      <c r="B190" s="1324"/>
      <c r="C190" t="s">
        <v>1253</v>
      </c>
      <c r="D190" s="113">
        <v>0</v>
      </c>
    </row>
    <row r="191" spans="1:4">
      <c r="A191" s="107">
        <v>5</v>
      </c>
      <c r="B191" s="1324"/>
      <c r="C191" t="s">
        <v>421</v>
      </c>
      <c r="D191" s="113">
        <v>0</v>
      </c>
    </row>
    <row r="192" spans="1:4">
      <c r="A192" s="107">
        <v>1</v>
      </c>
      <c r="B192" s="1323" t="s">
        <v>757</v>
      </c>
      <c r="C192" t="s">
        <v>444</v>
      </c>
      <c r="D192" s="113">
        <v>958729.7</v>
      </c>
    </row>
    <row r="193" spans="1:4">
      <c r="A193" s="107">
        <v>1</v>
      </c>
      <c r="B193" s="1324"/>
      <c r="C193" t="s">
        <v>445</v>
      </c>
      <c r="D193" s="113">
        <v>158934.6</v>
      </c>
    </row>
    <row r="194" spans="1:4">
      <c r="A194" s="107">
        <v>1</v>
      </c>
      <c r="B194" s="1324"/>
      <c r="C194" t="s">
        <v>446</v>
      </c>
      <c r="D194" s="113">
        <v>0</v>
      </c>
    </row>
    <row r="195" spans="1:4">
      <c r="A195" s="107">
        <v>1</v>
      </c>
      <c r="B195" s="1324"/>
      <c r="C195" t="s">
        <v>1253</v>
      </c>
      <c r="D195" s="113">
        <v>0</v>
      </c>
    </row>
    <row r="196" spans="1:4">
      <c r="A196" s="107">
        <v>1</v>
      </c>
      <c r="B196" s="1324"/>
      <c r="C196" t="s">
        <v>421</v>
      </c>
      <c r="D196" s="113">
        <v>0</v>
      </c>
    </row>
    <row r="197" spans="1:4">
      <c r="A197" s="107">
        <v>2</v>
      </c>
      <c r="B197" s="1323" t="s">
        <v>758</v>
      </c>
      <c r="C197" t="s">
        <v>444</v>
      </c>
      <c r="D197" s="113">
        <v>0</v>
      </c>
    </row>
    <row r="198" spans="1:4">
      <c r="A198" s="107">
        <v>2</v>
      </c>
      <c r="B198" s="1324"/>
      <c r="C198" t="s">
        <v>445</v>
      </c>
      <c r="D198" s="113">
        <v>0</v>
      </c>
    </row>
    <row r="199" spans="1:4">
      <c r="A199" s="107">
        <v>2</v>
      </c>
      <c r="B199" s="1324"/>
      <c r="C199" t="s">
        <v>446</v>
      </c>
      <c r="D199" s="113">
        <v>92879.9</v>
      </c>
    </row>
    <row r="200" spans="1:4">
      <c r="A200" s="107">
        <v>2</v>
      </c>
      <c r="B200" s="1324"/>
      <c r="C200" t="s">
        <v>1253</v>
      </c>
      <c r="D200" s="113">
        <v>0</v>
      </c>
    </row>
    <row r="201" spans="1:4">
      <c r="A201" s="107">
        <v>2</v>
      </c>
      <c r="B201" s="1324"/>
      <c r="C201" t="s">
        <v>421</v>
      </c>
      <c r="D201" s="113">
        <v>0</v>
      </c>
    </row>
    <row r="202" spans="1:4">
      <c r="A202" s="107">
        <v>2</v>
      </c>
      <c r="B202" s="1324" t="s">
        <v>1512</v>
      </c>
      <c r="C202" t="s">
        <v>444</v>
      </c>
      <c r="D202" s="113">
        <v>0</v>
      </c>
    </row>
    <row r="203" spans="1:4">
      <c r="A203" s="107">
        <v>2</v>
      </c>
      <c r="B203" s="1324"/>
      <c r="C203" t="s">
        <v>445</v>
      </c>
      <c r="D203" s="113">
        <v>0</v>
      </c>
    </row>
    <row r="204" spans="1:4">
      <c r="A204" s="107">
        <v>2</v>
      </c>
      <c r="B204" s="1324"/>
      <c r="C204" t="s">
        <v>446</v>
      </c>
      <c r="D204" s="113">
        <v>5957.6</v>
      </c>
    </row>
    <row r="205" spans="1:4">
      <c r="A205" s="107">
        <v>2</v>
      </c>
      <c r="B205" s="1324"/>
      <c r="C205" t="s">
        <v>1253</v>
      </c>
      <c r="D205" s="113">
        <v>0</v>
      </c>
    </row>
    <row r="206" spans="1:4">
      <c r="A206" s="107">
        <v>2</v>
      </c>
      <c r="B206" s="1324"/>
      <c r="C206" t="s">
        <v>421</v>
      </c>
      <c r="D206" s="113">
        <v>0</v>
      </c>
    </row>
    <row r="207" spans="1:4">
      <c r="A207" s="107">
        <v>2</v>
      </c>
      <c r="B207" s="1324" t="s">
        <v>1513</v>
      </c>
      <c r="C207" t="s">
        <v>444</v>
      </c>
      <c r="D207" s="113">
        <v>0</v>
      </c>
    </row>
    <row r="208" spans="1:4">
      <c r="A208" s="107">
        <v>2</v>
      </c>
      <c r="B208" s="1324"/>
      <c r="C208" t="s">
        <v>445</v>
      </c>
      <c r="D208" s="113">
        <v>0</v>
      </c>
    </row>
    <row r="209" spans="1:4">
      <c r="A209" s="107">
        <v>2</v>
      </c>
      <c r="B209" s="1324"/>
      <c r="C209" t="s">
        <v>446</v>
      </c>
      <c r="D209" s="113">
        <v>9385.4</v>
      </c>
    </row>
    <row r="210" spans="1:4">
      <c r="A210" s="107">
        <v>2</v>
      </c>
      <c r="B210" s="1324"/>
      <c r="C210" t="s">
        <v>1253</v>
      </c>
      <c r="D210" s="113">
        <v>0</v>
      </c>
    </row>
    <row r="211" spans="1:4">
      <c r="A211" s="107">
        <v>2</v>
      </c>
      <c r="B211" s="1324"/>
      <c r="C211" t="s">
        <v>421</v>
      </c>
      <c r="D211" s="113">
        <v>0</v>
      </c>
    </row>
    <row r="212" spans="1:4">
      <c r="A212" s="107">
        <v>2</v>
      </c>
      <c r="B212" s="1324" t="s">
        <v>1514</v>
      </c>
      <c r="C212" t="s">
        <v>444</v>
      </c>
      <c r="D212" s="113">
        <v>9387.7999999999993</v>
      </c>
    </row>
    <row r="213" spans="1:4">
      <c r="A213" s="107">
        <v>2</v>
      </c>
      <c r="B213" s="1324"/>
      <c r="C213" t="s">
        <v>445</v>
      </c>
      <c r="D213" s="113">
        <v>0</v>
      </c>
    </row>
    <row r="214" spans="1:4">
      <c r="A214" s="107">
        <v>2</v>
      </c>
      <c r="B214" s="1324"/>
      <c r="C214" t="s">
        <v>446</v>
      </c>
      <c r="D214" s="113">
        <v>0</v>
      </c>
    </row>
    <row r="215" spans="1:4">
      <c r="A215" s="107">
        <v>2</v>
      </c>
      <c r="B215" s="1324"/>
      <c r="C215" t="s">
        <v>1253</v>
      </c>
      <c r="D215" s="113">
        <v>0</v>
      </c>
    </row>
    <row r="216" spans="1:4">
      <c r="A216" s="107">
        <v>2</v>
      </c>
      <c r="B216" s="1324"/>
      <c r="C216" t="s">
        <v>421</v>
      </c>
      <c r="D216" s="113">
        <v>0</v>
      </c>
    </row>
    <row r="217" spans="1:4">
      <c r="A217" s="107">
        <v>2</v>
      </c>
      <c r="B217" s="1324" t="s">
        <v>1515</v>
      </c>
      <c r="C217" t="s">
        <v>444</v>
      </c>
      <c r="D217" s="113">
        <v>0</v>
      </c>
    </row>
    <row r="218" spans="1:4">
      <c r="A218" s="107">
        <v>2</v>
      </c>
      <c r="B218" s="1324"/>
      <c r="C218" t="s">
        <v>445</v>
      </c>
      <c r="D218" s="113">
        <v>0</v>
      </c>
    </row>
    <row r="219" spans="1:4">
      <c r="A219" s="107">
        <v>2</v>
      </c>
      <c r="B219" s="1324"/>
      <c r="C219" t="s">
        <v>446</v>
      </c>
      <c r="D219" s="113">
        <v>80421.3</v>
      </c>
    </row>
    <row r="220" spans="1:4">
      <c r="A220" s="107">
        <v>2</v>
      </c>
      <c r="B220" s="1324"/>
      <c r="C220" t="s">
        <v>1253</v>
      </c>
      <c r="D220" s="113">
        <v>0</v>
      </c>
    </row>
    <row r="221" spans="1:4">
      <c r="A221" s="107">
        <v>2</v>
      </c>
      <c r="B221" s="1325"/>
      <c r="C221" t="s">
        <v>421</v>
      </c>
      <c r="D221" s="113">
        <v>0</v>
      </c>
    </row>
    <row r="222" spans="1:4">
      <c r="A222" s="107">
        <v>2</v>
      </c>
      <c r="B222" s="1323" t="s">
        <v>759</v>
      </c>
      <c r="C222" t="s">
        <v>444</v>
      </c>
      <c r="D222" s="113">
        <v>0</v>
      </c>
    </row>
    <row r="223" spans="1:4">
      <c r="A223" s="107">
        <v>2</v>
      </c>
      <c r="B223" s="1324"/>
      <c r="C223" t="s">
        <v>445</v>
      </c>
      <c r="D223" s="113">
        <v>0</v>
      </c>
    </row>
    <row r="224" spans="1:4">
      <c r="A224" s="107">
        <v>2</v>
      </c>
      <c r="B224" s="1324"/>
      <c r="C224" t="s">
        <v>446</v>
      </c>
      <c r="D224" s="113">
        <v>38883</v>
      </c>
    </row>
    <row r="225" spans="1:4">
      <c r="A225" s="107">
        <v>2</v>
      </c>
      <c r="B225" s="1324"/>
      <c r="C225" t="s">
        <v>1253</v>
      </c>
      <c r="D225" s="113">
        <v>0</v>
      </c>
    </row>
    <row r="226" spans="1:4">
      <c r="A226" s="107">
        <v>2</v>
      </c>
      <c r="B226" s="1324"/>
      <c r="C226" t="s">
        <v>421</v>
      </c>
      <c r="D226" s="113">
        <v>0</v>
      </c>
    </row>
    <row r="227" spans="1:4">
      <c r="A227" s="107">
        <v>1</v>
      </c>
      <c r="B227" s="1323" t="s">
        <v>760</v>
      </c>
      <c r="C227" t="s">
        <v>444</v>
      </c>
      <c r="D227" s="113">
        <v>421236.7</v>
      </c>
    </row>
    <row r="228" spans="1:4">
      <c r="A228" s="107">
        <v>1</v>
      </c>
      <c r="B228" s="1324"/>
      <c r="C228" t="s">
        <v>445</v>
      </c>
      <c r="D228" s="113">
        <v>6304.2</v>
      </c>
    </row>
    <row r="229" spans="1:4">
      <c r="A229" s="107">
        <v>1</v>
      </c>
      <c r="B229" s="1324"/>
      <c r="C229" t="s">
        <v>446</v>
      </c>
      <c r="D229" s="113">
        <v>0</v>
      </c>
    </row>
    <row r="230" spans="1:4">
      <c r="A230" s="107">
        <v>1</v>
      </c>
      <c r="B230" s="1324"/>
      <c r="C230" t="s">
        <v>1253</v>
      </c>
      <c r="D230" s="113">
        <v>0</v>
      </c>
    </row>
    <row r="231" spans="1:4">
      <c r="A231" s="107">
        <v>1</v>
      </c>
      <c r="B231" s="1324"/>
      <c r="C231" t="s">
        <v>421</v>
      </c>
      <c r="D231" s="113">
        <v>0</v>
      </c>
    </row>
    <row r="232" spans="1:4">
      <c r="A232" s="107">
        <v>1</v>
      </c>
      <c r="B232" s="1323" t="s">
        <v>761</v>
      </c>
      <c r="C232" t="s">
        <v>444</v>
      </c>
      <c r="D232" s="113">
        <v>264581.90000000002</v>
      </c>
    </row>
    <row r="233" spans="1:4">
      <c r="A233" s="107">
        <v>1</v>
      </c>
      <c r="B233" s="1324"/>
      <c r="C233" t="s">
        <v>445</v>
      </c>
      <c r="D233" s="113">
        <v>0</v>
      </c>
    </row>
    <row r="234" spans="1:4">
      <c r="A234" s="107">
        <v>1</v>
      </c>
      <c r="B234" s="1324"/>
      <c r="C234" t="s">
        <v>446</v>
      </c>
      <c r="D234" s="113">
        <v>81216.2</v>
      </c>
    </row>
    <row r="235" spans="1:4">
      <c r="A235" s="107">
        <v>1</v>
      </c>
      <c r="B235" s="1324"/>
      <c r="C235" t="s">
        <v>1253</v>
      </c>
      <c r="D235" s="113">
        <v>0</v>
      </c>
    </row>
    <row r="236" spans="1:4">
      <c r="A236" s="107">
        <v>1</v>
      </c>
      <c r="B236" s="1324"/>
      <c r="C236" t="s">
        <v>421</v>
      </c>
      <c r="D236" s="113">
        <v>0</v>
      </c>
    </row>
    <row r="237" spans="1:4">
      <c r="A237" s="107">
        <v>4</v>
      </c>
      <c r="B237" s="1323" t="s">
        <v>762</v>
      </c>
      <c r="C237" t="s">
        <v>444</v>
      </c>
      <c r="D237" s="113">
        <v>283462</v>
      </c>
    </row>
    <row r="238" spans="1:4">
      <c r="A238" s="107">
        <v>4</v>
      </c>
      <c r="B238" s="1324"/>
      <c r="C238" t="s">
        <v>445</v>
      </c>
      <c r="D238" s="113">
        <v>0</v>
      </c>
    </row>
    <row r="239" spans="1:4">
      <c r="A239" s="107">
        <v>4</v>
      </c>
      <c r="B239" s="1324"/>
      <c r="C239" t="s">
        <v>446</v>
      </c>
      <c r="D239" s="113">
        <v>0</v>
      </c>
    </row>
    <row r="240" spans="1:4">
      <c r="A240" s="107">
        <v>4</v>
      </c>
      <c r="B240" s="1324"/>
      <c r="C240" t="s">
        <v>1253</v>
      </c>
      <c r="D240" s="113">
        <v>0</v>
      </c>
    </row>
    <row r="241" spans="1:4">
      <c r="A241" s="107">
        <v>4</v>
      </c>
      <c r="B241" s="1325"/>
      <c r="C241" t="s">
        <v>421</v>
      </c>
      <c r="D241" s="113">
        <v>0</v>
      </c>
    </row>
    <row r="242" spans="1:4">
      <c r="A242" s="107">
        <v>1</v>
      </c>
      <c r="B242" s="1323" t="s">
        <v>763</v>
      </c>
      <c r="C242" t="s">
        <v>444</v>
      </c>
      <c r="D242" s="113">
        <v>234311.8</v>
      </c>
    </row>
    <row r="243" spans="1:4">
      <c r="A243" s="107">
        <v>1</v>
      </c>
      <c r="B243" s="1324"/>
      <c r="C243" t="s">
        <v>445</v>
      </c>
      <c r="D243" s="113">
        <v>0</v>
      </c>
    </row>
    <row r="244" spans="1:4">
      <c r="A244" s="107">
        <v>1</v>
      </c>
      <c r="B244" s="1324"/>
      <c r="C244" t="s">
        <v>446</v>
      </c>
      <c r="D244" s="113">
        <v>0</v>
      </c>
    </row>
    <row r="245" spans="1:4">
      <c r="A245" s="107">
        <v>1</v>
      </c>
      <c r="B245" s="1324"/>
      <c r="C245" t="s">
        <v>1253</v>
      </c>
      <c r="D245" s="113">
        <v>0</v>
      </c>
    </row>
    <row r="246" spans="1:4">
      <c r="A246" s="107">
        <v>1</v>
      </c>
      <c r="B246" s="1324"/>
      <c r="C246" t="s">
        <v>421</v>
      </c>
      <c r="D246" s="113">
        <v>0</v>
      </c>
    </row>
    <row r="247" spans="1:4">
      <c r="A247" s="107">
        <v>1</v>
      </c>
      <c r="B247" s="1323" t="s">
        <v>764</v>
      </c>
      <c r="C247" t="s">
        <v>444</v>
      </c>
      <c r="D247" s="113">
        <v>883819.3</v>
      </c>
    </row>
    <row r="248" spans="1:4">
      <c r="A248" s="107">
        <v>1</v>
      </c>
      <c r="B248" s="1324"/>
      <c r="C248" t="s">
        <v>445</v>
      </c>
      <c r="D248" s="113">
        <v>218783.2</v>
      </c>
    </row>
    <row r="249" spans="1:4">
      <c r="A249" s="107">
        <v>1</v>
      </c>
      <c r="B249" s="1324"/>
      <c r="C249" t="s">
        <v>446</v>
      </c>
      <c r="D249" s="113">
        <v>0</v>
      </c>
    </row>
    <row r="250" spans="1:4">
      <c r="A250" s="107">
        <v>1</v>
      </c>
      <c r="B250" s="1324"/>
      <c r="C250" t="s">
        <v>1253</v>
      </c>
      <c r="D250" s="113">
        <v>0</v>
      </c>
    </row>
    <row r="251" spans="1:4">
      <c r="A251" s="107">
        <v>1</v>
      </c>
      <c r="B251" s="1324"/>
      <c r="C251" t="s">
        <v>421</v>
      </c>
      <c r="D251" s="113">
        <v>0</v>
      </c>
    </row>
    <row r="252" spans="1:4">
      <c r="A252" s="107">
        <v>4</v>
      </c>
      <c r="B252" s="1323" t="s">
        <v>765</v>
      </c>
      <c r="C252" t="s">
        <v>444</v>
      </c>
      <c r="D252" s="113">
        <v>435404.5</v>
      </c>
    </row>
    <row r="253" spans="1:4">
      <c r="A253" s="107">
        <v>4</v>
      </c>
      <c r="B253" s="1324"/>
      <c r="C253" t="s">
        <v>445</v>
      </c>
      <c r="D253" s="113">
        <v>0</v>
      </c>
    </row>
    <row r="254" spans="1:4">
      <c r="A254" s="107">
        <v>4</v>
      </c>
      <c r="B254" s="1324"/>
      <c r="C254" t="s">
        <v>446</v>
      </c>
      <c r="D254" s="113">
        <v>0</v>
      </c>
    </row>
    <row r="255" spans="1:4">
      <c r="A255" s="107">
        <v>4</v>
      </c>
      <c r="B255" s="1324"/>
      <c r="C255" t="s">
        <v>1253</v>
      </c>
      <c r="D255" s="113">
        <v>0</v>
      </c>
    </row>
    <row r="256" spans="1:4">
      <c r="A256" s="107">
        <v>4</v>
      </c>
      <c r="B256" s="1325"/>
      <c r="C256" t="s">
        <v>421</v>
      </c>
      <c r="D256" s="113">
        <v>2488</v>
      </c>
    </row>
    <row r="257" spans="1:4">
      <c r="A257" s="107">
        <v>1</v>
      </c>
      <c r="B257" s="1323" t="s">
        <v>766</v>
      </c>
      <c r="C257" t="s">
        <v>444</v>
      </c>
      <c r="D257" s="113">
        <v>1244259.8999999999</v>
      </c>
    </row>
    <row r="258" spans="1:4">
      <c r="A258" s="107">
        <v>1</v>
      </c>
      <c r="B258" s="1324"/>
      <c r="C258" t="s">
        <v>445</v>
      </c>
      <c r="D258" s="113">
        <v>416208.6</v>
      </c>
    </row>
    <row r="259" spans="1:4">
      <c r="A259" s="107">
        <v>1</v>
      </c>
      <c r="B259" s="1324"/>
      <c r="C259" t="s">
        <v>446</v>
      </c>
      <c r="D259" s="113">
        <v>0</v>
      </c>
    </row>
    <row r="260" spans="1:4">
      <c r="A260" s="107">
        <v>1</v>
      </c>
      <c r="B260" s="1324"/>
      <c r="C260" t="s">
        <v>1253</v>
      </c>
      <c r="D260" s="113">
        <v>0</v>
      </c>
    </row>
    <row r="261" spans="1:4">
      <c r="A261" s="107">
        <v>1</v>
      </c>
      <c r="B261" s="1324"/>
      <c r="C261" t="s">
        <v>421</v>
      </c>
      <c r="D261" s="113">
        <v>0</v>
      </c>
    </row>
    <row r="262" spans="1:4">
      <c r="A262" s="107">
        <v>1</v>
      </c>
      <c r="B262" s="1323" t="s">
        <v>767</v>
      </c>
      <c r="C262" t="s">
        <v>444</v>
      </c>
      <c r="D262" s="113">
        <v>0</v>
      </c>
    </row>
    <row r="263" spans="1:4">
      <c r="A263" s="107">
        <v>1</v>
      </c>
      <c r="B263" s="1324"/>
      <c r="C263" t="s">
        <v>445</v>
      </c>
      <c r="D263" s="113">
        <v>0</v>
      </c>
    </row>
    <row r="264" spans="1:4">
      <c r="A264" s="107">
        <v>1</v>
      </c>
      <c r="B264" s="1324"/>
      <c r="C264" t="s">
        <v>446</v>
      </c>
      <c r="D264" s="113">
        <v>314037</v>
      </c>
    </row>
    <row r="265" spans="1:4">
      <c r="A265" s="107">
        <v>1</v>
      </c>
      <c r="B265" s="1324"/>
      <c r="C265" t="s">
        <v>1253</v>
      </c>
      <c r="D265" s="113">
        <v>0</v>
      </c>
    </row>
    <row r="266" spans="1:4">
      <c r="A266" s="107">
        <v>1</v>
      </c>
      <c r="B266" s="1324"/>
      <c r="C266" t="s">
        <v>421</v>
      </c>
      <c r="D266" s="113">
        <v>0</v>
      </c>
    </row>
    <row r="267" spans="1:4">
      <c r="A267" s="107">
        <v>3</v>
      </c>
      <c r="B267" s="1323" t="s">
        <v>768</v>
      </c>
      <c r="C267" t="s">
        <v>444</v>
      </c>
      <c r="D267" s="113">
        <v>100365.2</v>
      </c>
    </row>
    <row r="268" spans="1:4">
      <c r="A268" s="107">
        <v>3</v>
      </c>
      <c r="B268" s="1324"/>
      <c r="C268" t="s">
        <v>445</v>
      </c>
      <c r="D268" s="113">
        <v>0</v>
      </c>
    </row>
    <row r="269" spans="1:4">
      <c r="A269" s="107">
        <v>3</v>
      </c>
      <c r="B269" s="1324"/>
      <c r="C269" t="s">
        <v>446</v>
      </c>
      <c r="D269" s="113">
        <v>0</v>
      </c>
    </row>
    <row r="270" spans="1:4">
      <c r="A270" s="107">
        <v>3</v>
      </c>
      <c r="B270" s="1324"/>
      <c r="C270" t="s">
        <v>1253</v>
      </c>
      <c r="D270" s="113">
        <v>0</v>
      </c>
    </row>
    <row r="271" spans="1:4">
      <c r="A271" s="107">
        <v>3</v>
      </c>
      <c r="B271" s="1325"/>
      <c r="C271" t="s">
        <v>421</v>
      </c>
      <c r="D271" s="113">
        <v>0</v>
      </c>
    </row>
    <row r="272" spans="1:4">
      <c r="A272" s="107">
        <v>4</v>
      </c>
      <c r="B272" s="1323" t="s">
        <v>769</v>
      </c>
      <c r="C272" t="s">
        <v>444</v>
      </c>
      <c r="D272" s="113">
        <v>551598.5</v>
      </c>
    </row>
    <row r="273" spans="1:4">
      <c r="A273" s="107">
        <v>4</v>
      </c>
      <c r="B273" s="1324"/>
      <c r="C273" t="s">
        <v>445</v>
      </c>
      <c r="D273" s="113">
        <v>0</v>
      </c>
    </row>
    <row r="274" spans="1:4">
      <c r="A274" s="107">
        <v>4</v>
      </c>
      <c r="B274" s="1324"/>
      <c r="C274" t="s">
        <v>446</v>
      </c>
      <c r="D274" s="113">
        <v>0</v>
      </c>
    </row>
    <row r="275" spans="1:4">
      <c r="A275" s="107">
        <v>4</v>
      </c>
      <c r="B275" s="1324"/>
      <c r="C275" t="s">
        <v>1253</v>
      </c>
      <c r="D275" s="113">
        <v>0</v>
      </c>
    </row>
    <row r="276" spans="1:4">
      <c r="A276" s="107">
        <v>4</v>
      </c>
      <c r="B276" s="1325"/>
      <c r="C276" t="s">
        <v>421</v>
      </c>
      <c r="D276" s="113">
        <v>0</v>
      </c>
    </row>
    <row r="277" spans="1:4">
      <c r="A277" s="107">
        <v>11</v>
      </c>
      <c r="B277" s="1323" t="s">
        <v>770</v>
      </c>
      <c r="C277" t="s">
        <v>444</v>
      </c>
      <c r="D277" s="113">
        <v>461218.4</v>
      </c>
    </row>
    <row r="278" spans="1:4">
      <c r="A278" s="107">
        <v>11</v>
      </c>
      <c r="B278" s="1324"/>
      <c r="C278" t="s">
        <v>445</v>
      </c>
      <c r="D278" s="113">
        <v>381811.5</v>
      </c>
    </row>
    <row r="279" spans="1:4">
      <c r="A279" s="107">
        <v>11</v>
      </c>
      <c r="B279" s="1324"/>
      <c r="C279" t="s">
        <v>446</v>
      </c>
      <c r="D279" s="113">
        <v>3496.5</v>
      </c>
    </row>
    <row r="280" spans="1:4">
      <c r="A280" s="107">
        <v>11</v>
      </c>
      <c r="B280" s="1324"/>
      <c r="C280" t="s">
        <v>1253</v>
      </c>
      <c r="D280" s="113">
        <v>0</v>
      </c>
    </row>
    <row r="281" spans="1:4">
      <c r="A281" s="107">
        <v>11</v>
      </c>
      <c r="B281" s="1324"/>
      <c r="C281" t="s">
        <v>421</v>
      </c>
      <c r="D281" s="113">
        <v>0</v>
      </c>
    </row>
    <row r="282" spans="1:4">
      <c r="A282" s="107">
        <v>3</v>
      </c>
      <c r="B282" s="1323" t="s">
        <v>771</v>
      </c>
      <c r="C282" t="s">
        <v>444</v>
      </c>
      <c r="D282" s="113">
        <v>97754.1</v>
      </c>
    </row>
    <row r="283" spans="1:4">
      <c r="A283" s="107">
        <v>3</v>
      </c>
      <c r="B283" s="1324"/>
      <c r="C283" t="s">
        <v>445</v>
      </c>
      <c r="D283" s="113">
        <v>0</v>
      </c>
    </row>
    <row r="284" spans="1:4">
      <c r="A284" s="107">
        <v>3</v>
      </c>
      <c r="B284" s="1324"/>
      <c r="C284" t="s">
        <v>446</v>
      </c>
      <c r="D284" s="113">
        <v>0</v>
      </c>
    </row>
    <row r="285" spans="1:4">
      <c r="A285" s="107">
        <v>3</v>
      </c>
      <c r="B285" s="1324"/>
      <c r="C285" t="s">
        <v>1253</v>
      </c>
      <c r="D285" s="113">
        <v>0</v>
      </c>
    </row>
    <row r="286" spans="1:4">
      <c r="A286" s="107">
        <v>3</v>
      </c>
      <c r="B286" s="1325"/>
      <c r="C286" t="s">
        <v>421</v>
      </c>
      <c r="D286" s="113">
        <v>0</v>
      </c>
    </row>
    <row r="287" spans="1:4">
      <c r="A287" s="107">
        <v>2</v>
      </c>
      <c r="B287" s="1323" t="s">
        <v>772</v>
      </c>
      <c r="C287" t="s">
        <v>444</v>
      </c>
      <c r="D287" s="113">
        <v>129401.4</v>
      </c>
    </row>
    <row r="288" spans="1:4">
      <c r="A288" s="107">
        <v>2</v>
      </c>
      <c r="B288" s="1324"/>
      <c r="C288" t="s">
        <v>445</v>
      </c>
      <c r="D288" s="113">
        <v>0</v>
      </c>
    </row>
    <row r="289" spans="1:4">
      <c r="A289" s="107">
        <v>2</v>
      </c>
      <c r="B289" s="1324"/>
      <c r="C289" t="s">
        <v>446</v>
      </c>
      <c r="D289" s="113">
        <v>164520.5</v>
      </c>
    </row>
    <row r="290" spans="1:4">
      <c r="A290" s="107">
        <v>2</v>
      </c>
      <c r="B290" s="1324"/>
      <c r="C290" t="s">
        <v>1253</v>
      </c>
      <c r="D290" s="113">
        <v>0</v>
      </c>
    </row>
    <row r="291" spans="1:4">
      <c r="A291" s="107">
        <v>2</v>
      </c>
      <c r="B291" s="1324"/>
      <c r="C291" t="s">
        <v>421</v>
      </c>
      <c r="D291" s="113">
        <v>0</v>
      </c>
    </row>
    <row r="292" spans="1:4">
      <c r="A292" s="107">
        <v>9</v>
      </c>
      <c r="B292" s="1323" t="s">
        <v>773</v>
      </c>
      <c r="C292" t="s">
        <v>444</v>
      </c>
      <c r="D292" s="113">
        <v>173106</v>
      </c>
    </row>
    <row r="293" spans="1:4">
      <c r="A293" s="107">
        <v>9</v>
      </c>
      <c r="B293" s="1324"/>
      <c r="C293" t="s">
        <v>445</v>
      </c>
      <c r="D293" s="113">
        <v>0</v>
      </c>
    </row>
    <row r="294" spans="1:4">
      <c r="A294" s="107">
        <v>9</v>
      </c>
      <c r="B294" s="1324"/>
      <c r="C294" t="s">
        <v>446</v>
      </c>
      <c r="D294" s="113">
        <v>50687.199999999997</v>
      </c>
    </row>
    <row r="295" spans="1:4">
      <c r="A295" s="107">
        <v>9</v>
      </c>
      <c r="B295" s="1324"/>
      <c r="C295" t="s">
        <v>1253</v>
      </c>
      <c r="D295" s="113">
        <v>0</v>
      </c>
    </row>
    <row r="296" spans="1:4">
      <c r="A296" s="107">
        <v>9</v>
      </c>
      <c r="B296" s="1324"/>
      <c r="C296" t="s">
        <v>421</v>
      </c>
      <c r="D296" s="113">
        <v>0</v>
      </c>
    </row>
    <row r="297" spans="1:4">
      <c r="A297" s="107">
        <v>1</v>
      </c>
      <c r="B297" s="1323" t="s">
        <v>774</v>
      </c>
      <c r="C297" t="s">
        <v>444</v>
      </c>
      <c r="D297" s="113">
        <v>49736.1</v>
      </c>
    </row>
    <row r="298" spans="1:4">
      <c r="A298" s="107">
        <v>1</v>
      </c>
      <c r="B298" s="1324"/>
      <c r="C298" t="s">
        <v>445</v>
      </c>
      <c r="D298" s="113">
        <v>0</v>
      </c>
    </row>
    <row r="299" spans="1:4">
      <c r="A299" s="107">
        <v>1</v>
      </c>
      <c r="B299" s="1324"/>
      <c r="C299" t="s">
        <v>446</v>
      </c>
      <c r="D299" s="113">
        <v>0</v>
      </c>
    </row>
    <row r="300" spans="1:4">
      <c r="A300" s="107">
        <v>1</v>
      </c>
      <c r="B300" s="1324"/>
      <c r="C300" t="s">
        <v>1253</v>
      </c>
      <c r="D300" s="113">
        <v>0</v>
      </c>
    </row>
    <row r="301" spans="1:4">
      <c r="A301" s="107">
        <v>1</v>
      </c>
      <c r="B301" s="1325"/>
      <c r="C301" t="s">
        <v>421</v>
      </c>
      <c r="D301" s="113">
        <v>0</v>
      </c>
    </row>
    <row r="302" spans="1:4">
      <c r="A302" s="107">
        <v>1</v>
      </c>
      <c r="B302" s="1323" t="s">
        <v>1516</v>
      </c>
      <c r="C302" t="s">
        <v>444</v>
      </c>
      <c r="D302" s="113">
        <v>9772</v>
      </c>
    </row>
    <row r="303" spans="1:4">
      <c r="A303" s="107">
        <v>1</v>
      </c>
      <c r="B303" s="1324"/>
      <c r="C303" t="s">
        <v>445</v>
      </c>
      <c r="D303" s="113">
        <v>0</v>
      </c>
    </row>
    <row r="304" spans="1:4">
      <c r="A304" s="107">
        <v>1</v>
      </c>
      <c r="B304" s="1324"/>
      <c r="C304" t="s">
        <v>446</v>
      </c>
      <c r="D304" s="113">
        <v>1831.5</v>
      </c>
    </row>
    <row r="305" spans="1:4">
      <c r="A305" s="107">
        <v>1</v>
      </c>
      <c r="B305" s="1324"/>
      <c r="C305" t="s">
        <v>1253</v>
      </c>
      <c r="D305" s="113">
        <v>0</v>
      </c>
    </row>
    <row r="306" spans="1:4">
      <c r="A306" s="107">
        <v>1</v>
      </c>
      <c r="B306" s="1325"/>
      <c r="C306" t="s">
        <v>421</v>
      </c>
      <c r="D306" s="113">
        <v>0</v>
      </c>
    </row>
    <row r="307" spans="1:4">
      <c r="A307" s="107">
        <v>1</v>
      </c>
      <c r="B307" s="1323" t="s">
        <v>775</v>
      </c>
      <c r="C307" t="s">
        <v>444</v>
      </c>
      <c r="D307" s="113">
        <v>537491</v>
      </c>
    </row>
    <row r="308" spans="1:4">
      <c r="A308" s="107">
        <v>1</v>
      </c>
      <c r="B308" s="1324"/>
      <c r="C308" t="s">
        <v>445</v>
      </c>
      <c r="D308" s="113">
        <v>31533.599999999999</v>
      </c>
    </row>
    <row r="309" spans="1:4">
      <c r="A309" s="107">
        <v>1</v>
      </c>
      <c r="B309" s="1324"/>
      <c r="C309" t="s">
        <v>446</v>
      </c>
      <c r="D309" s="113">
        <v>44691</v>
      </c>
    </row>
    <row r="310" spans="1:4">
      <c r="A310" s="107">
        <v>1</v>
      </c>
      <c r="B310" s="1324"/>
      <c r="C310" t="s">
        <v>1253</v>
      </c>
      <c r="D310" s="113">
        <v>0</v>
      </c>
    </row>
    <row r="311" spans="1:4">
      <c r="A311" s="107">
        <v>1</v>
      </c>
      <c r="B311" s="1324"/>
      <c r="C311" t="s">
        <v>421</v>
      </c>
      <c r="D311" s="113">
        <v>2055.8000000000002</v>
      </c>
    </row>
    <row r="312" spans="1:4">
      <c r="A312" s="107">
        <v>1</v>
      </c>
      <c r="B312" s="1323" t="s">
        <v>776</v>
      </c>
      <c r="C312" t="s">
        <v>444</v>
      </c>
      <c r="D312" s="113">
        <v>114339.2</v>
      </c>
    </row>
    <row r="313" spans="1:4">
      <c r="A313" s="107">
        <v>1</v>
      </c>
      <c r="B313" s="1324"/>
      <c r="C313" t="s">
        <v>445</v>
      </c>
      <c r="D313" s="113">
        <v>274832.3</v>
      </c>
    </row>
    <row r="314" spans="1:4">
      <c r="A314" s="107">
        <v>1</v>
      </c>
      <c r="B314" s="1324"/>
      <c r="C314" t="s">
        <v>446</v>
      </c>
      <c r="D314" s="113">
        <v>0</v>
      </c>
    </row>
    <row r="315" spans="1:4">
      <c r="A315" s="107">
        <v>1</v>
      </c>
      <c r="B315" s="1324"/>
      <c r="C315" t="s">
        <v>1253</v>
      </c>
      <c r="D315" s="113">
        <v>0</v>
      </c>
    </row>
    <row r="316" spans="1:4">
      <c r="A316" s="107">
        <v>1</v>
      </c>
      <c r="B316" s="1324"/>
      <c r="C316" t="s">
        <v>421</v>
      </c>
      <c r="D316" s="113">
        <v>0</v>
      </c>
    </row>
    <row r="317" spans="1:4">
      <c r="A317" s="107">
        <v>10</v>
      </c>
      <c r="B317" s="1323" t="s">
        <v>777</v>
      </c>
      <c r="C317" t="s">
        <v>444</v>
      </c>
      <c r="D317" s="113">
        <v>0</v>
      </c>
    </row>
    <row r="318" spans="1:4">
      <c r="A318" s="107">
        <v>10</v>
      </c>
      <c r="B318" s="1324"/>
      <c r="C318" t="s">
        <v>445</v>
      </c>
      <c r="D318" s="113">
        <v>0</v>
      </c>
    </row>
    <row r="319" spans="1:4">
      <c r="A319" s="107">
        <v>10</v>
      </c>
      <c r="B319" s="1324"/>
      <c r="C319" t="s">
        <v>446</v>
      </c>
      <c r="D319" s="113">
        <v>54553.4</v>
      </c>
    </row>
    <row r="320" spans="1:4">
      <c r="A320" s="107">
        <v>10</v>
      </c>
      <c r="B320" s="1324"/>
      <c r="C320" t="s">
        <v>1253</v>
      </c>
      <c r="D320" s="113">
        <v>0</v>
      </c>
    </row>
    <row r="321" spans="1:4">
      <c r="A321" s="107">
        <v>10</v>
      </c>
      <c r="B321" s="1324"/>
      <c r="C321" t="s">
        <v>421</v>
      </c>
      <c r="D321" s="113">
        <v>0</v>
      </c>
    </row>
    <row r="322" spans="1:4">
      <c r="A322" s="107">
        <v>11</v>
      </c>
      <c r="B322" s="1323" t="s">
        <v>1517</v>
      </c>
      <c r="C322" t="s">
        <v>444</v>
      </c>
      <c r="D322" s="113">
        <v>0</v>
      </c>
    </row>
    <row r="323" spans="1:4">
      <c r="A323" s="107">
        <v>11</v>
      </c>
      <c r="B323" s="1324"/>
      <c r="C323" t="s">
        <v>445</v>
      </c>
      <c r="D323" s="113">
        <v>0</v>
      </c>
    </row>
    <row r="324" spans="1:4">
      <c r="A324" s="107">
        <v>11</v>
      </c>
      <c r="B324" s="1324"/>
      <c r="C324" t="s">
        <v>446</v>
      </c>
      <c r="D324" s="113">
        <v>33065</v>
      </c>
    </row>
    <row r="325" spans="1:4">
      <c r="A325" s="107">
        <v>11</v>
      </c>
      <c r="B325" s="1324"/>
      <c r="C325" t="s">
        <v>1253</v>
      </c>
      <c r="D325" s="113">
        <v>0</v>
      </c>
    </row>
    <row r="326" spans="1:4">
      <c r="A326" s="107">
        <v>11</v>
      </c>
      <c r="B326" s="1324"/>
      <c r="C326" t="s">
        <v>421</v>
      </c>
      <c r="D326" s="113">
        <v>0</v>
      </c>
    </row>
    <row r="327" spans="1:4">
      <c r="A327" s="107">
        <v>3</v>
      </c>
      <c r="B327" s="1323" t="s">
        <v>778</v>
      </c>
      <c r="C327" t="s">
        <v>444</v>
      </c>
      <c r="D327" s="113">
        <v>0</v>
      </c>
    </row>
    <row r="328" spans="1:4">
      <c r="A328" s="107">
        <v>3</v>
      </c>
      <c r="B328" s="1324"/>
      <c r="C328" t="s">
        <v>445</v>
      </c>
      <c r="D328" s="113">
        <v>31478.7</v>
      </c>
    </row>
    <row r="329" spans="1:4">
      <c r="A329" s="107">
        <v>3</v>
      </c>
      <c r="B329" s="1324"/>
      <c r="C329" t="s">
        <v>446</v>
      </c>
      <c r="D329" s="113">
        <v>25411.9</v>
      </c>
    </row>
    <row r="330" spans="1:4">
      <c r="A330" s="107">
        <v>3</v>
      </c>
      <c r="B330" s="1324"/>
      <c r="C330" t="s">
        <v>1253</v>
      </c>
      <c r="D330" s="113">
        <v>0</v>
      </c>
    </row>
    <row r="331" spans="1:4">
      <c r="A331" s="107">
        <v>3</v>
      </c>
      <c r="B331" s="1324"/>
      <c r="C331" t="s">
        <v>421</v>
      </c>
      <c r="D331" s="113">
        <v>0</v>
      </c>
    </row>
    <row r="332" spans="1:4">
      <c r="A332" s="107">
        <v>1</v>
      </c>
      <c r="B332" s="1323" t="s">
        <v>1517</v>
      </c>
      <c r="C332" t="s">
        <v>444</v>
      </c>
      <c r="D332" s="113">
        <v>0</v>
      </c>
    </row>
    <row r="333" spans="1:4">
      <c r="A333" s="107">
        <v>1</v>
      </c>
      <c r="B333" s="1324"/>
      <c r="C333" t="s">
        <v>445</v>
      </c>
      <c r="D333" s="113">
        <v>0</v>
      </c>
    </row>
    <row r="334" spans="1:4">
      <c r="A334" s="107">
        <v>1</v>
      </c>
      <c r="B334" s="1324"/>
      <c r="C334" t="s">
        <v>446</v>
      </c>
      <c r="D334" s="113">
        <v>33065</v>
      </c>
    </row>
    <row r="335" spans="1:4">
      <c r="A335" s="107">
        <v>1</v>
      </c>
      <c r="B335" s="1324"/>
      <c r="C335" t="s">
        <v>1253</v>
      </c>
      <c r="D335" s="113">
        <v>0</v>
      </c>
    </row>
    <row r="336" spans="1:4">
      <c r="A336" s="107">
        <v>1</v>
      </c>
      <c r="B336" s="1325"/>
      <c r="C336" t="s">
        <v>421</v>
      </c>
      <c r="D336" s="113">
        <v>0</v>
      </c>
    </row>
    <row r="337" spans="1:4">
      <c r="A337" s="107">
        <v>2</v>
      </c>
      <c r="B337" s="1323" t="s">
        <v>779</v>
      </c>
      <c r="C337" t="s">
        <v>444</v>
      </c>
      <c r="D337" s="113">
        <v>0</v>
      </c>
    </row>
    <row r="338" spans="1:4">
      <c r="A338" s="107">
        <v>2</v>
      </c>
      <c r="B338" s="1324"/>
      <c r="C338" t="s">
        <v>445</v>
      </c>
      <c r="D338" s="113">
        <v>0</v>
      </c>
    </row>
    <row r="339" spans="1:4">
      <c r="A339" s="107">
        <v>2</v>
      </c>
      <c r="B339" s="1324"/>
      <c r="C339" t="s">
        <v>446</v>
      </c>
      <c r="D339" s="113">
        <v>103540.8</v>
      </c>
    </row>
    <row r="340" spans="1:4">
      <c r="A340" s="107">
        <v>2</v>
      </c>
      <c r="B340" s="1324"/>
      <c r="C340" t="s">
        <v>1253</v>
      </c>
      <c r="D340" s="113">
        <v>0</v>
      </c>
    </row>
    <row r="341" spans="1:4">
      <c r="A341" s="107">
        <v>2</v>
      </c>
      <c r="B341" s="1325"/>
      <c r="C341" t="s">
        <v>421</v>
      </c>
      <c r="D341" s="113">
        <v>0</v>
      </c>
    </row>
    <row r="342" spans="1:4">
      <c r="A342" s="107">
        <v>2</v>
      </c>
      <c r="B342" s="1323" t="s">
        <v>1518</v>
      </c>
      <c r="C342" t="s">
        <v>444</v>
      </c>
      <c r="D342" s="113">
        <v>0</v>
      </c>
    </row>
    <row r="343" spans="1:4">
      <c r="A343" s="107">
        <v>2</v>
      </c>
      <c r="B343" s="1324"/>
      <c r="C343" t="s">
        <v>445</v>
      </c>
      <c r="D343" s="113">
        <v>0</v>
      </c>
    </row>
    <row r="344" spans="1:4">
      <c r="A344" s="107">
        <v>2</v>
      </c>
      <c r="B344" s="1324"/>
      <c r="C344" t="s">
        <v>446</v>
      </c>
      <c r="D344" s="113">
        <v>100815</v>
      </c>
    </row>
    <row r="345" spans="1:4">
      <c r="A345" s="107">
        <v>2</v>
      </c>
      <c r="B345" s="1324"/>
      <c r="C345" t="s">
        <v>1253</v>
      </c>
      <c r="D345" s="113">
        <v>0</v>
      </c>
    </row>
    <row r="346" spans="1:4">
      <c r="A346" s="107">
        <v>2</v>
      </c>
      <c r="B346" s="1325"/>
      <c r="C346" t="s">
        <v>421</v>
      </c>
      <c r="D346" s="113">
        <v>0</v>
      </c>
    </row>
    <row r="347" spans="1:4">
      <c r="A347" s="107">
        <v>1</v>
      </c>
      <c r="B347" s="1323" t="s">
        <v>1519</v>
      </c>
      <c r="C347" t="s">
        <v>444</v>
      </c>
      <c r="D347" s="113">
        <v>0</v>
      </c>
    </row>
    <row r="348" spans="1:4">
      <c r="A348" s="107">
        <v>1</v>
      </c>
      <c r="B348" s="1324"/>
      <c r="C348" t="s">
        <v>445</v>
      </c>
      <c r="D348" s="113">
        <v>0</v>
      </c>
    </row>
    <row r="349" spans="1:4">
      <c r="A349" s="107">
        <v>1</v>
      </c>
      <c r="B349" s="1324"/>
      <c r="C349" t="s">
        <v>446</v>
      </c>
      <c r="D349" s="113">
        <v>11120.9</v>
      </c>
    </row>
    <row r="350" spans="1:4">
      <c r="A350" s="107">
        <v>1</v>
      </c>
      <c r="B350" s="1324"/>
      <c r="C350" t="s">
        <v>1253</v>
      </c>
      <c r="D350" s="113">
        <v>0</v>
      </c>
    </row>
    <row r="351" spans="1:4">
      <c r="A351" s="107">
        <v>1</v>
      </c>
      <c r="B351" s="1325"/>
      <c r="C351" t="s">
        <v>421</v>
      </c>
      <c r="D351" s="113">
        <v>0</v>
      </c>
    </row>
    <row r="352" spans="1:4">
      <c r="A352" s="107">
        <v>1</v>
      </c>
      <c r="B352" s="1323" t="s">
        <v>1520</v>
      </c>
      <c r="C352" t="s">
        <v>444</v>
      </c>
      <c r="D352" s="113">
        <v>751.8</v>
      </c>
    </row>
    <row r="353" spans="1:4">
      <c r="A353" s="107">
        <v>1</v>
      </c>
      <c r="B353" s="1324"/>
      <c r="C353" t="s">
        <v>445</v>
      </c>
      <c r="D353" s="113">
        <v>0</v>
      </c>
    </row>
    <row r="354" spans="1:4">
      <c r="A354" s="107">
        <v>1</v>
      </c>
      <c r="B354" s="1324"/>
      <c r="C354" t="s">
        <v>446</v>
      </c>
      <c r="D354" s="113">
        <v>4223</v>
      </c>
    </row>
    <row r="355" spans="1:4">
      <c r="A355" s="107">
        <v>1</v>
      </c>
      <c r="B355" s="1324"/>
      <c r="C355" t="s">
        <v>1253</v>
      </c>
      <c r="D355" s="113">
        <v>0</v>
      </c>
    </row>
    <row r="356" spans="1:4">
      <c r="A356" s="107">
        <v>1</v>
      </c>
      <c r="B356" s="1325"/>
      <c r="C356" t="s">
        <v>421</v>
      </c>
      <c r="D356" s="113">
        <v>0</v>
      </c>
    </row>
    <row r="357" spans="1:4">
      <c r="A357" s="107">
        <v>1</v>
      </c>
      <c r="B357" s="1323" t="s">
        <v>1521</v>
      </c>
      <c r="C357" t="s">
        <v>444</v>
      </c>
      <c r="D357" s="113">
        <v>0</v>
      </c>
    </row>
    <row r="358" spans="1:4">
      <c r="A358" s="107">
        <v>1</v>
      </c>
      <c r="B358" s="1324"/>
      <c r="C358" t="s">
        <v>445</v>
      </c>
      <c r="D358" s="113">
        <v>0</v>
      </c>
    </row>
    <row r="359" spans="1:4">
      <c r="A359" s="107">
        <v>1</v>
      </c>
      <c r="B359" s="1324"/>
      <c r="C359" t="s">
        <v>446</v>
      </c>
      <c r="D359" s="113">
        <v>6791.4</v>
      </c>
    </row>
    <row r="360" spans="1:4">
      <c r="A360" s="107">
        <v>1</v>
      </c>
      <c r="B360" s="1324"/>
      <c r="C360" t="s">
        <v>1253</v>
      </c>
      <c r="D360" s="113">
        <v>0</v>
      </c>
    </row>
    <row r="361" spans="1:4">
      <c r="A361" s="107">
        <v>1</v>
      </c>
      <c r="B361" s="1325"/>
      <c r="C361" t="s">
        <v>421</v>
      </c>
      <c r="D361" s="113">
        <v>0</v>
      </c>
    </row>
    <row r="362" spans="1:4">
      <c r="A362" s="107">
        <v>10</v>
      </c>
      <c r="B362" s="1323" t="s">
        <v>1522</v>
      </c>
      <c r="C362" t="s">
        <v>444</v>
      </c>
      <c r="D362" s="113">
        <v>0</v>
      </c>
    </row>
    <row r="363" spans="1:4">
      <c r="A363" s="107">
        <v>10</v>
      </c>
      <c r="B363" s="1324"/>
      <c r="C363" t="s">
        <v>445</v>
      </c>
      <c r="D363" s="113">
        <v>0</v>
      </c>
    </row>
    <row r="364" spans="1:4">
      <c r="A364" s="107">
        <v>10</v>
      </c>
      <c r="B364" s="1324"/>
      <c r="C364" t="s">
        <v>446</v>
      </c>
      <c r="D364" s="113">
        <v>3748.1</v>
      </c>
    </row>
    <row r="365" spans="1:4">
      <c r="A365" s="107">
        <v>10</v>
      </c>
      <c r="B365" s="1324"/>
      <c r="C365" t="s">
        <v>1253</v>
      </c>
      <c r="D365" s="113">
        <v>0</v>
      </c>
    </row>
    <row r="366" spans="1:4">
      <c r="A366" s="107">
        <v>10</v>
      </c>
      <c r="B366" s="1325"/>
      <c r="C366" t="s">
        <v>421</v>
      </c>
      <c r="D366" s="113">
        <v>0</v>
      </c>
    </row>
    <row r="367" spans="1:4">
      <c r="A367" s="107">
        <v>1</v>
      </c>
      <c r="B367" s="1323" t="s">
        <v>1523</v>
      </c>
      <c r="C367" t="s">
        <v>444</v>
      </c>
      <c r="D367" s="113">
        <v>0</v>
      </c>
    </row>
    <row r="368" spans="1:4">
      <c r="A368" s="107">
        <v>1</v>
      </c>
      <c r="B368" s="1324"/>
      <c r="C368" t="s">
        <v>445</v>
      </c>
      <c r="D368" s="113">
        <v>0</v>
      </c>
    </row>
    <row r="369" spans="1:4">
      <c r="A369" s="107">
        <v>1</v>
      </c>
      <c r="B369" s="1324"/>
      <c r="C369" t="s">
        <v>446</v>
      </c>
      <c r="D369" s="113">
        <v>6548</v>
      </c>
    </row>
    <row r="370" spans="1:4">
      <c r="A370" s="107">
        <v>1</v>
      </c>
      <c r="B370" s="1324"/>
      <c r="C370" t="s">
        <v>1253</v>
      </c>
      <c r="D370" s="113">
        <v>0</v>
      </c>
    </row>
    <row r="371" spans="1:4">
      <c r="A371" s="107">
        <v>1</v>
      </c>
      <c r="B371" s="1325"/>
      <c r="C371" t="s">
        <v>421</v>
      </c>
      <c r="D371" s="113">
        <v>0</v>
      </c>
    </row>
    <row r="372" spans="1:4">
      <c r="A372" s="107">
        <v>15</v>
      </c>
      <c r="B372" s="1323" t="s">
        <v>1524</v>
      </c>
      <c r="C372" t="s">
        <v>444</v>
      </c>
      <c r="D372" s="113">
        <v>2061318.1</v>
      </c>
    </row>
    <row r="373" spans="1:4">
      <c r="A373" s="107">
        <v>15</v>
      </c>
      <c r="B373" s="1324"/>
      <c r="C373" t="s">
        <v>445</v>
      </c>
      <c r="D373" s="113">
        <v>1143089.8999999999</v>
      </c>
    </row>
    <row r="374" spans="1:4">
      <c r="A374" s="107">
        <v>15</v>
      </c>
      <c r="B374" s="1324"/>
      <c r="C374" t="s">
        <v>446</v>
      </c>
      <c r="D374" s="113">
        <v>87028.6</v>
      </c>
    </row>
    <row r="375" spans="1:4">
      <c r="A375" s="107">
        <v>15</v>
      </c>
      <c r="B375" s="1324"/>
      <c r="C375" t="s">
        <v>1253</v>
      </c>
      <c r="D375" s="113">
        <v>0</v>
      </c>
    </row>
    <row r="376" spans="1:4">
      <c r="A376" s="107">
        <v>15</v>
      </c>
      <c r="B376" s="1325"/>
      <c r="C376" t="s">
        <v>421</v>
      </c>
      <c r="D376" s="113">
        <v>18790.900000000001</v>
      </c>
    </row>
    <row r="377" spans="1:4" ht="12" customHeight="1">
      <c r="A377" s="107">
        <v>2</v>
      </c>
      <c r="B377" s="1323" t="s">
        <v>780</v>
      </c>
      <c r="C377" t="s">
        <v>444</v>
      </c>
      <c r="D377" s="113">
        <v>0</v>
      </c>
    </row>
    <row r="378" spans="1:4">
      <c r="A378" s="107">
        <v>2</v>
      </c>
      <c r="B378" s="1324"/>
      <c r="C378" t="s">
        <v>445</v>
      </c>
      <c r="D378" s="113">
        <v>0</v>
      </c>
    </row>
    <row r="379" spans="1:4">
      <c r="A379" s="107">
        <v>2</v>
      </c>
      <c r="B379" s="1324"/>
      <c r="C379" t="s">
        <v>446</v>
      </c>
      <c r="D379" s="113">
        <v>21775.599999999999</v>
      </c>
    </row>
    <row r="380" spans="1:4">
      <c r="A380" s="107">
        <v>2</v>
      </c>
      <c r="B380" s="1324"/>
      <c r="C380" t="s">
        <v>1253</v>
      </c>
      <c r="D380" s="113">
        <v>0</v>
      </c>
    </row>
    <row r="381" spans="1:4">
      <c r="A381" s="107">
        <v>2</v>
      </c>
      <c r="B381" s="1325"/>
      <c r="C381" t="s">
        <v>421</v>
      </c>
      <c r="D381" s="113">
        <v>0</v>
      </c>
    </row>
    <row r="382" spans="1:4" ht="12.75" customHeight="1">
      <c r="A382" s="107">
        <v>4</v>
      </c>
      <c r="B382" s="1323" t="s">
        <v>781</v>
      </c>
      <c r="C382" t="s">
        <v>444</v>
      </c>
      <c r="D382" s="113">
        <v>445502.1</v>
      </c>
    </row>
    <row r="383" spans="1:4">
      <c r="A383" s="107">
        <v>4</v>
      </c>
      <c r="B383" s="1324"/>
      <c r="C383" t="s">
        <v>445</v>
      </c>
      <c r="D383" s="113">
        <v>0</v>
      </c>
    </row>
    <row r="384" spans="1:4">
      <c r="A384" s="107">
        <v>4</v>
      </c>
      <c r="B384" s="1324"/>
      <c r="C384" t="s">
        <v>446</v>
      </c>
      <c r="D384" s="113">
        <v>3356.8</v>
      </c>
    </row>
    <row r="385" spans="1:4">
      <c r="A385" s="107">
        <v>4</v>
      </c>
      <c r="B385" s="1324"/>
      <c r="C385" t="s">
        <v>1253</v>
      </c>
      <c r="D385" s="113">
        <v>0</v>
      </c>
    </row>
    <row r="386" spans="1:4">
      <c r="A386" s="107">
        <v>4</v>
      </c>
      <c r="B386" s="1325"/>
      <c r="C386" t="s">
        <v>421</v>
      </c>
      <c r="D386" s="113">
        <v>4216.6000000000004</v>
      </c>
    </row>
    <row r="387" spans="1:4">
      <c r="A387" s="107">
        <v>4</v>
      </c>
      <c r="B387" s="1323" t="s">
        <v>782</v>
      </c>
      <c r="C387" t="s">
        <v>444</v>
      </c>
      <c r="D387" s="113">
        <v>523988.8</v>
      </c>
    </row>
    <row r="388" spans="1:4">
      <c r="A388" s="107">
        <v>4</v>
      </c>
      <c r="B388" s="1324"/>
      <c r="C388" t="s">
        <v>445</v>
      </c>
      <c r="D388" s="113">
        <v>0</v>
      </c>
    </row>
    <row r="389" spans="1:4">
      <c r="A389" s="107">
        <v>4</v>
      </c>
      <c r="B389" s="1324"/>
      <c r="C389" t="s">
        <v>446</v>
      </c>
      <c r="D389" s="113">
        <v>8925.4</v>
      </c>
    </row>
    <row r="390" spans="1:4">
      <c r="A390" s="107">
        <v>4</v>
      </c>
      <c r="B390" s="1324"/>
      <c r="C390" t="s">
        <v>1253</v>
      </c>
      <c r="D390" s="113">
        <v>0</v>
      </c>
    </row>
    <row r="391" spans="1:4">
      <c r="A391" s="107">
        <v>2</v>
      </c>
      <c r="B391" s="1325"/>
      <c r="C391" t="s">
        <v>421</v>
      </c>
      <c r="D391" s="113">
        <v>5310.1</v>
      </c>
    </row>
    <row r="392" spans="1:4">
      <c r="A392" s="107">
        <v>2</v>
      </c>
      <c r="B392" s="1323" t="s">
        <v>1525</v>
      </c>
      <c r="C392" t="s">
        <v>444</v>
      </c>
      <c r="D392" s="113">
        <v>0</v>
      </c>
    </row>
    <row r="393" spans="1:4">
      <c r="A393" s="107">
        <v>2</v>
      </c>
      <c r="B393" s="1324"/>
      <c r="C393" t="s">
        <v>445</v>
      </c>
      <c r="D393" s="113">
        <v>0</v>
      </c>
    </row>
    <row r="394" spans="1:4">
      <c r="A394" s="107">
        <v>2</v>
      </c>
      <c r="B394" s="1324"/>
      <c r="C394" t="s">
        <v>446</v>
      </c>
      <c r="D394" s="113">
        <v>28717.599999999999</v>
      </c>
    </row>
    <row r="395" spans="1:4">
      <c r="A395" s="107">
        <v>2</v>
      </c>
      <c r="B395" s="1324"/>
      <c r="C395" t="s">
        <v>1253</v>
      </c>
      <c r="D395" s="113">
        <v>0</v>
      </c>
    </row>
    <row r="396" spans="1:4">
      <c r="A396" s="107">
        <v>2</v>
      </c>
      <c r="B396" s="1325"/>
      <c r="C396" t="s">
        <v>421</v>
      </c>
      <c r="D396" s="113">
        <v>0</v>
      </c>
    </row>
    <row r="397" spans="1:4" ht="12.75" customHeight="1">
      <c r="A397" s="107">
        <v>2</v>
      </c>
      <c r="B397" s="1323" t="s">
        <v>783</v>
      </c>
      <c r="C397" t="s">
        <v>444</v>
      </c>
      <c r="D397" s="113">
        <v>0</v>
      </c>
    </row>
    <row r="398" spans="1:4">
      <c r="A398" s="107">
        <v>2</v>
      </c>
      <c r="B398" s="1324"/>
      <c r="C398" t="s">
        <v>445</v>
      </c>
      <c r="D398" s="113">
        <v>0</v>
      </c>
    </row>
    <row r="399" spans="1:4">
      <c r="A399" s="107">
        <v>2</v>
      </c>
      <c r="B399" s="1324"/>
      <c r="C399" t="s">
        <v>446</v>
      </c>
      <c r="D399" s="113">
        <v>16364</v>
      </c>
    </row>
    <row r="400" spans="1:4">
      <c r="A400" s="107">
        <v>2</v>
      </c>
      <c r="B400" s="1324"/>
      <c r="C400" t="s">
        <v>1253</v>
      </c>
      <c r="D400" s="113">
        <v>0</v>
      </c>
    </row>
    <row r="401" spans="1:4">
      <c r="A401" s="107">
        <v>2</v>
      </c>
      <c r="B401" s="1325"/>
      <c r="C401" t="s">
        <v>421</v>
      </c>
      <c r="D401" s="113">
        <v>0</v>
      </c>
    </row>
    <row r="402" spans="1:4">
      <c r="A402" s="107">
        <v>1</v>
      </c>
      <c r="B402" s="1323" t="s">
        <v>784</v>
      </c>
      <c r="C402" t="s">
        <v>444</v>
      </c>
      <c r="D402" s="113">
        <v>628254.19999999995</v>
      </c>
    </row>
    <row r="403" spans="1:4">
      <c r="A403" s="107">
        <v>1</v>
      </c>
      <c r="B403" s="1324"/>
      <c r="C403" t="s">
        <v>445</v>
      </c>
      <c r="D403" s="113">
        <v>0</v>
      </c>
    </row>
    <row r="404" spans="1:4">
      <c r="A404" s="107">
        <v>1</v>
      </c>
      <c r="B404" s="1324"/>
      <c r="C404" t="s">
        <v>446</v>
      </c>
      <c r="D404" s="113">
        <v>20321.7</v>
      </c>
    </row>
    <row r="405" spans="1:4">
      <c r="A405" s="107">
        <v>1</v>
      </c>
      <c r="B405" s="1324"/>
      <c r="C405" t="s">
        <v>1253</v>
      </c>
      <c r="D405" s="113">
        <v>0</v>
      </c>
    </row>
    <row r="406" spans="1:4">
      <c r="A406" s="107">
        <v>1</v>
      </c>
      <c r="B406" s="1325"/>
      <c r="C406" t="s">
        <v>421</v>
      </c>
      <c r="D406" s="113">
        <v>0</v>
      </c>
    </row>
    <row r="407" spans="1:4" ht="12.75" customHeight="1">
      <c r="A407" s="107">
        <v>2</v>
      </c>
      <c r="B407" s="1323" t="s">
        <v>785</v>
      </c>
      <c r="C407" t="s">
        <v>444</v>
      </c>
      <c r="D407" s="113">
        <v>0</v>
      </c>
    </row>
    <row r="408" spans="1:4">
      <c r="A408" s="107">
        <v>2</v>
      </c>
      <c r="B408" s="1324"/>
      <c r="C408" t="s">
        <v>445</v>
      </c>
      <c r="D408" s="113">
        <v>0</v>
      </c>
    </row>
    <row r="409" spans="1:4">
      <c r="A409" s="107">
        <v>2</v>
      </c>
      <c r="B409" s="1324"/>
      <c r="C409" t="s">
        <v>446</v>
      </c>
      <c r="D409" s="113">
        <v>30888.9</v>
      </c>
    </row>
    <row r="410" spans="1:4">
      <c r="A410" s="107">
        <v>2</v>
      </c>
      <c r="B410" s="1324"/>
      <c r="C410" t="s">
        <v>1253</v>
      </c>
      <c r="D410" s="113">
        <v>0</v>
      </c>
    </row>
    <row r="411" spans="1:4">
      <c r="A411" s="107">
        <v>2</v>
      </c>
      <c r="B411" s="1325"/>
      <c r="C411" t="s">
        <v>421</v>
      </c>
      <c r="D411" s="113">
        <v>0</v>
      </c>
    </row>
    <row r="412" spans="1:4" ht="12.75" customHeight="1">
      <c r="A412" s="107">
        <v>2</v>
      </c>
      <c r="B412" s="1323" t="s">
        <v>786</v>
      </c>
      <c r="C412" t="s">
        <v>444</v>
      </c>
      <c r="D412" s="113">
        <v>0</v>
      </c>
    </row>
    <row r="413" spans="1:4">
      <c r="A413" s="107">
        <v>2</v>
      </c>
      <c r="B413" s="1324"/>
      <c r="C413" t="s">
        <v>445</v>
      </c>
      <c r="D413" s="113">
        <v>0</v>
      </c>
    </row>
    <row r="414" spans="1:4">
      <c r="A414" s="107">
        <v>2</v>
      </c>
      <c r="B414" s="1324"/>
      <c r="C414" t="s">
        <v>446</v>
      </c>
      <c r="D414" s="113">
        <v>27229.8</v>
      </c>
    </row>
    <row r="415" spans="1:4">
      <c r="A415" s="107">
        <v>2</v>
      </c>
      <c r="B415" s="1324"/>
      <c r="C415" t="s">
        <v>1253</v>
      </c>
      <c r="D415" s="113">
        <v>0</v>
      </c>
    </row>
    <row r="416" spans="1:4">
      <c r="A416" s="107">
        <v>2</v>
      </c>
      <c r="B416" s="1325"/>
      <c r="C416" t="s">
        <v>421</v>
      </c>
      <c r="D416" s="113">
        <v>0</v>
      </c>
    </row>
    <row r="417" spans="1:4">
      <c r="A417" s="107">
        <v>2</v>
      </c>
      <c r="B417" s="1323" t="s">
        <v>787</v>
      </c>
      <c r="C417" t="s">
        <v>444</v>
      </c>
      <c r="D417" s="113">
        <v>0</v>
      </c>
    </row>
    <row r="418" spans="1:4">
      <c r="A418" s="107">
        <v>2</v>
      </c>
      <c r="B418" s="1324"/>
      <c r="C418" t="s">
        <v>445</v>
      </c>
      <c r="D418" s="113">
        <v>0</v>
      </c>
    </row>
    <row r="419" spans="1:4">
      <c r="A419" s="107">
        <v>2</v>
      </c>
      <c r="B419" s="1324"/>
      <c r="C419" t="s">
        <v>446</v>
      </c>
      <c r="D419" s="113">
        <v>41734.6</v>
      </c>
    </row>
    <row r="420" spans="1:4">
      <c r="A420" s="107">
        <v>2</v>
      </c>
      <c r="B420" s="1324"/>
      <c r="C420" t="s">
        <v>1253</v>
      </c>
      <c r="D420" s="113">
        <v>0</v>
      </c>
    </row>
    <row r="421" spans="1:4">
      <c r="A421" s="107">
        <v>2</v>
      </c>
      <c r="B421" s="1324"/>
      <c r="C421" t="s">
        <v>421</v>
      </c>
      <c r="D421" s="113">
        <v>0</v>
      </c>
    </row>
    <row r="422" spans="1:4">
      <c r="A422" s="107">
        <v>4</v>
      </c>
      <c r="B422" s="1323" t="s">
        <v>788</v>
      </c>
      <c r="C422" t="s">
        <v>444</v>
      </c>
      <c r="D422" s="113">
        <v>400425.7</v>
      </c>
    </row>
    <row r="423" spans="1:4">
      <c r="A423" s="107">
        <v>4</v>
      </c>
      <c r="B423" s="1324"/>
      <c r="C423" t="s">
        <v>445</v>
      </c>
      <c r="D423" s="113">
        <v>0</v>
      </c>
    </row>
    <row r="424" spans="1:4">
      <c r="A424" s="107">
        <v>4</v>
      </c>
      <c r="B424" s="1324"/>
      <c r="C424" t="s">
        <v>446</v>
      </c>
      <c r="D424" s="113">
        <v>33052.699999999997</v>
      </c>
    </row>
    <row r="425" spans="1:4">
      <c r="A425" s="107">
        <v>4</v>
      </c>
      <c r="B425" s="1324"/>
      <c r="C425" t="s">
        <v>1253</v>
      </c>
      <c r="D425" s="113">
        <v>0</v>
      </c>
    </row>
    <row r="426" spans="1:4">
      <c r="A426" s="107">
        <v>4</v>
      </c>
      <c r="B426" s="1324"/>
      <c r="C426" t="s">
        <v>421</v>
      </c>
      <c r="D426" s="113">
        <v>0</v>
      </c>
    </row>
    <row r="427" spans="1:4">
      <c r="A427" s="107">
        <v>8</v>
      </c>
      <c r="B427" s="1323" t="s">
        <v>789</v>
      </c>
      <c r="C427" t="s">
        <v>444</v>
      </c>
      <c r="D427" s="113">
        <v>1798975.6</v>
      </c>
    </row>
    <row r="428" spans="1:4">
      <c r="A428" s="107">
        <v>8</v>
      </c>
      <c r="B428" s="1324"/>
      <c r="C428" t="s">
        <v>445</v>
      </c>
      <c r="D428" s="113">
        <v>715719.7</v>
      </c>
    </row>
    <row r="429" spans="1:4">
      <c r="A429" s="107">
        <v>8</v>
      </c>
      <c r="B429" s="1324"/>
      <c r="C429" t="s">
        <v>446</v>
      </c>
      <c r="D429" s="113">
        <v>928701.6</v>
      </c>
    </row>
    <row r="430" spans="1:4">
      <c r="A430" s="107">
        <v>8</v>
      </c>
      <c r="B430" s="1324"/>
      <c r="C430" t="s">
        <v>1253</v>
      </c>
      <c r="D430" s="113">
        <v>0</v>
      </c>
    </row>
    <row r="431" spans="1:4">
      <c r="A431" s="107">
        <v>8</v>
      </c>
      <c r="B431" s="1324"/>
      <c r="C431" t="s">
        <v>421</v>
      </c>
      <c r="D431" s="113">
        <v>6044.3</v>
      </c>
    </row>
    <row r="432" spans="1:4">
      <c r="A432" s="107">
        <v>2</v>
      </c>
      <c r="B432" s="1323" t="s">
        <v>790</v>
      </c>
      <c r="C432" t="s">
        <v>444</v>
      </c>
      <c r="D432" s="113">
        <v>0</v>
      </c>
    </row>
    <row r="433" spans="1:4">
      <c r="A433" s="107">
        <v>2</v>
      </c>
      <c r="B433" s="1324"/>
      <c r="C433" t="s">
        <v>445</v>
      </c>
      <c r="D433" s="113">
        <v>0</v>
      </c>
    </row>
    <row r="434" spans="1:4">
      <c r="A434" s="107">
        <v>2</v>
      </c>
      <c r="B434" s="1324"/>
      <c r="C434" t="s">
        <v>446</v>
      </c>
      <c r="D434" s="113">
        <v>31622</v>
      </c>
    </row>
    <row r="435" spans="1:4">
      <c r="A435" s="107">
        <v>2</v>
      </c>
      <c r="B435" s="1324"/>
      <c r="C435" t="s">
        <v>1253</v>
      </c>
      <c r="D435" s="113">
        <v>0</v>
      </c>
    </row>
    <row r="436" spans="1:4">
      <c r="A436" s="107">
        <v>2</v>
      </c>
      <c r="B436" s="1324"/>
      <c r="C436" t="s">
        <v>421</v>
      </c>
      <c r="D436" s="113">
        <v>0</v>
      </c>
    </row>
    <row r="437" spans="1:4">
      <c r="A437" s="107">
        <v>2</v>
      </c>
      <c r="B437" s="1323" t="s">
        <v>791</v>
      </c>
      <c r="C437" t="s">
        <v>444</v>
      </c>
      <c r="D437" s="113">
        <v>0</v>
      </c>
    </row>
    <row r="438" spans="1:4">
      <c r="A438" s="107">
        <v>2</v>
      </c>
      <c r="B438" s="1324"/>
      <c r="C438" t="s">
        <v>445</v>
      </c>
      <c r="D438" s="113">
        <v>0</v>
      </c>
    </row>
    <row r="439" spans="1:4">
      <c r="A439" s="107">
        <v>2</v>
      </c>
      <c r="B439" s="1324"/>
      <c r="C439" t="s">
        <v>446</v>
      </c>
      <c r="D439" s="113">
        <v>18006</v>
      </c>
    </row>
    <row r="440" spans="1:4">
      <c r="A440" s="107">
        <v>2</v>
      </c>
      <c r="B440" s="1324"/>
      <c r="C440" t="s">
        <v>1253</v>
      </c>
      <c r="D440" s="113">
        <v>0</v>
      </c>
    </row>
    <row r="441" spans="1:4">
      <c r="A441" s="107">
        <v>2</v>
      </c>
      <c r="B441" s="1324"/>
      <c r="C441" t="s">
        <v>421</v>
      </c>
      <c r="D441" s="113">
        <v>0</v>
      </c>
    </row>
    <row r="442" spans="1:4">
      <c r="A442" s="107">
        <v>2</v>
      </c>
      <c r="B442" s="1323" t="s">
        <v>792</v>
      </c>
      <c r="C442" t="s">
        <v>444</v>
      </c>
      <c r="D442" s="113">
        <v>0</v>
      </c>
    </row>
    <row r="443" spans="1:4">
      <c r="A443" s="107">
        <v>2</v>
      </c>
      <c r="B443" s="1324"/>
      <c r="C443" t="s">
        <v>445</v>
      </c>
      <c r="D443" s="113">
        <v>0</v>
      </c>
    </row>
    <row r="444" spans="1:4">
      <c r="A444" s="107">
        <v>2</v>
      </c>
      <c r="B444" s="1324"/>
      <c r="C444" t="s">
        <v>446</v>
      </c>
      <c r="D444" s="113">
        <v>14909.3</v>
      </c>
    </row>
    <row r="445" spans="1:4">
      <c r="A445" s="107">
        <v>2</v>
      </c>
      <c r="B445" s="1324"/>
      <c r="C445" t="s">
        <v>1253</v>
      </c>
      <c r="D445" s="113">
        <v>0</v>
      </c>
    </row>
    <row r="446" spans="1:4">
      <c r="A446" s="107">
        <v>2</v>
      </c>
      <c r="B446" s="1324"/>
      <c r="C446" t="s">
        <v>421</v>
      </c>
      <c r="D446" s="113">
        <v>0</v>
      </c>
    </row>
    <row r="447" spans="1:4">
      <c r="A447" s="107">
        <v>2</v>
      </c>
      <c r="B447" s="1323" t="s">
        <v>793</v>
      </c>
      <c r="C447" t="s">
        <v>444</v>
      </c>
      <c r="D447" s="113">
        <v>0</v>
      </c>
    </row>
    <row r="448" spans="1:4">
      <c r="A448" s="107">
        <v>2</v>
      </c>
      <c r="B448" s="1324"/>
      <c r="C448" t="s">
        <v>445</v>
      </c>
      <c r="D448" s="113">
        <v>0</v>
      </c>
    </row>
    <row r="449" spans="1:4">
      <c r="A449" s="107">
        <v>2</v>
      </c>
      <c r="B449" s="1324"/>
      <c r="C449" t="s">
        <v>446</v>
      </c>
      <c r="D449" s="113">
        <v>37723.4</v>
      </c>
    </row>
    <row r="450" spans="1:4">
      <c r="A450" s="107">
        <v>2</v>
      </c>
      <c r="B450" s="1324"/>
      <c r="C450" t="s">
        <v>1253</v>
      </c>
      <c r="D450" s="113">
        <v>0</v>
      </c>
    </row>
    <row r="451" spans="1:4">
      <c r="A451" s="107">
        <v>2</v>
      </c>
      <c r="B451" s="1324"/>
      <c r="C451" t="s">
        <v>421</v>
      </c>
      <c r="D451" s="113">
        <v>0</v>
      </c>
    </row>
    <row r="452" spans="1:4">
      <c r="A452" s="107">
        <v>1</v>
      </c>
      <c r="B452" s="1323" t="s">
        <v>794</v>
      </c>
      <c r="C452" t="s">
        <v>444</v>
      </c>
      <c r="D452" s="113">
        <v>663362.6</v>
      </c>
    </row>
    <row r="453" spans="1:4">
      <c r="A453" s="107">
        <v>1</v>
      </c>
      <c r="B453" s="1324"/>
      <c r="C453" t="s">
        <v>445</v>
      </c>
      <c r="D453" s="113">
        <v>382369.7</v>
      </c>
    </row>
    <row r="454" spans="1:4">
      <c r="A454" s="107">
        <v>1</v>
      </c>
      <c r="B454" s="1324"/>
      <c r="C454" t="s">
        <v>446</v>
      </c>
      <c r="D454" s="113">
        <v>43470.6</v>
      </c>
    </row>
    <row r="455" spans="1:4">
      <c r="A455" s="107">
        <v>1</v>
      </c>
      <c r="B455" s="1324"/>
      <c r="C455" t="s">
        <v>1253</v>
      </c>
      <c r="D455" s="113">
        <v>0</v>
      </c>
    </row>
    <row r="456" spans="1:4">
      <c r="A456" s="107">
        <v>1</v>
      </c>
      <c r="B456" s="1324"/>
      <c r="C456" t="s">
        <v>421</v>
      </c>
      <c r="D456" s="113">
        <v>17038.3</v>
      </c>
    </row>
    <row r="457" spans="1:4">
      <c r="A457" s="111">
        <v>2</v>
      </c>
      <c r="B457" s="1323" t="s">
        <v>795</v>
      </c>
      <c r="C457" t="s">
        <v>444</v>
      </c>
      <c r="D457" s="113">
        <v>0</v>
      </c>
    </row>
    <row r="458" spans="1:4">
      <c r="A458" s="111">
        <v>2</v>
      </c>
      <c r="B458" s="1324"/>
      <c r="C458" t="s">
        <v>445</v>
      </c>
      <c r="D458" s="113">
        <v>0</v>
      </c>
    </row>
    <row r="459" spans="1:4">
      <c r="A459" s="111">
        <v>2</v>
      </c>
      <c r="B459" s="1324"/>
      <c r="C459" t="s">
        <v>446</v>
      </c>
      <c r="D459" s="113">
        <v>29791.200000000001</v>
      </c>
    </row>
    <row r="460" spans="1:4">
      <c r="A460" s="111">
        <v>2</v>
      </c>
      <c r="B460" s="1324"/>
      <c r="C460" t="s">
        <v>1253</v>
      </c>
      <c r="D460" s="113">
        <v>0</v>
      </c>
    </row>
    <row r="461" spans="1:4">
      <c r="A461" s="111">
        <v>2</v>
      </c>
      <c r="B461" s="1324"/>
      <c r="C461" t="s">
        <v>421</v>
      </c>
      <c r="D461" s="113">
        <v>0</v>
      </c>
    </row>
    <row r="462" spans="1:4">
      <c r="A462" s="111">
        <v>2</v>
      </c>
      <c r="B462" s="1323" t="s">
        <v>796</v>
      </c>
      <c r="C462" t="s">
        <v>444</v>
      </c>
      <c r="D462" s="113">
        <v>0</v>
      </c>
    </row>
    <row r="463" spans="1:4">
      <c r="A463" s="111">
        <v>2</v>
      </c>
      <c r="B463" s="1324"/>
      <c r="C463" t="s">
        <v>445</v>
      </c>
      <c r="D463" s="113">
        <v>0</v>
      </c>
    </row>
    <row r="464" spans="1:4">
      <c r="A464" s="111">
        <v>2</v>
      </c>
      <c r="B464" s="1324"/>
      <c r="C464" t="s">
        <v>446</v>
      </c>
      <c r="D464" s="113">
        <v>9859.9</v>
      </c>
    </row>
    <row r="465" spans="1:4">
      <c r="A465" s="111">
        <v>2</v>
      </c>
      <c r="B465" s="1324"/>
      <c r="C465" t="s">
        <v>1253</v>
      </c>
      <c r="D465" s="113">
        <v>0</v>
      </c>
    </row>
    <row r="466" spans="1:4">
      <c r="A466" s="111">
        <v>2</v>
      </c>
      <c r="B466" s="1324"/>
      <c r="C466" t="s">
        <v>421</v>
      </c>
      <c r="D466" s="113">
        <v>0</v>
      </c>
    </row>
    <row r="467" spans="1:4">
      <c r="A467" s="111">
        <v>2</v>
      </c>
      <c r="B467" s="1323" t="s">
        <v>797</v>
      </c>
      <c r="C467" t="s">
        <v>444</v>
      </c>
      <c r="D467" s="113">
        <v>0</v>
      </c>
    </row>
    <row r="468" spans="1:4">
      <c r="A468" s="111">
        <v>2</v>
      </c>
      <c r="B468" s="1324"/>
      <c r="C468" t="s">
        <v>445</v>
      </c>
      <c r="D468" s="113">
        <v>0</v>
      </c>
    </row>
    <row r="469" spans="1:4">
      <c r="A469" s="111">
        <v>2</v>
      </c>
      <c r="B469" s="1324"/>
      <c r="C469" t="s">
        <v>446</v>
      </c>
      <c r="D469" s="113">
        <v>29233.200000000001</v>
      </c>
    </row>
    <row r="470" spans="1:4">
      <c r="A470" s="111">
        <v>2</v>
      </c>
      <c r="B470" s="1324"/>
      <c r="C470" t="s">
        <v>1253</v>
      </c>
      <c r="D470" s="113">
        <v>0</v>
      </c>
    </row>
    <row r="471" spans="1:4">
      <c r="A471" s="111">
        <v>2</v>
      </c>
      <c r="B471" s="1324"/>
      <c r="C471" t="s">
        <v>421</v>
      </c>
      <c r="D471" s="113">
        <v>0</v>
      </c>
    </row>
    <row r="472" spans="1:4">
      <c r="A472" s="111">
        <v>2</v>
      </c>
      <c r="B472" s="1323" t="s">
        <v>798</v>
      </c>
      <c r="C472" t="s">
        <v>444</v>
      </c>
      <c r="D472" s="113">
        <v>0</v>
      </c>
    </row>
    <row r="473" spans="1:4">
      <c r="A473" s="111">
        <v>2</v>
      </c>
      <c r="B473" s="1324"/>
      <c r="C473" t="s">
        <v>445</v>
      </c>
      <c r="D473" s="113">
        <v>0</v>
      </c>
    </row>
    <row r="474" spans="1:4">
      <c r="A474" s="111">
        <v>2</v>
      </c>
      <c r="B474" s="1324"/>
      <c r="C474" t="s">
        <v>446</v>
      </c>
      <c r="D474" s="113">
        <v>34650.199999999997</v>
      </c>
    </row>
    <row r="475" spans="1:4">
      <c r="A475" s="107">
        <v>4</v>
      </c>
      <c r="B475" s="1324"/>
      <c r="C475" t="s">
        <v>1253</v>
      </c>
      <c r="D475" s="113">
        <v>0</v>
      </c>
    </row>
    <row r="476" spans="1:4">
      <c r="A476" s="107">
        <v>4</v>
      </c>
      <c r="B476" s="1324"/>
      <c r="C476" t="s">
        <v>421</v>
      </c>
      <c r="D476" s="113">
        <v>0</v>
      </c>
    </row>
    <row r="477" spans="1:4">
      <c r="A477" s="107">
        <v>1</v>
      </c>
      <c r="B477" s="1323" t="s">
        <v>799</v>
      </c>
      <c r="C477" t="s">
        <v>444</v>
      </c>
      <c r="D477" s="113">
        <v>1895256.3</v>
      </c>
    </row>
    <row r="478" spans="1:4">
      <c r="A478" s="107">
        <v>1</v>
      </c>
      <c r="B478" s="1324"/>
      <c r="C478" t="s">
        <v>445</v>
      </c>
      <c r="D478" s="113">
        <v>1322198.6000000001</v>
      </c>
    </row>
    <row r="479" spans="1:4">
      <c r="A479" s="107">
        <v>1</v>
      </c>
      <c r="B479" s="1324"/>
      <c r="C479" t="s">
        <v>446</v>
      </c>
      <c r="D479" s="113">
        <v>405862.1</v>
      </c>
    </row>
    <row r="480" spans="1:4">
      <c r="A480" s="107">
        <v>1</v>
      </c>
      <c r="B480" s="1324"/>
      <c r="C480" t="s">
        <v>1253</v>
      </c>
      <c r="D480" s="113">
        <v>0</v>
      </c>
    </row>
    <row r="481" spans="1:4">
      <c r="A481" s="107">
        <v>1</v>
      </c>
      <c r="B481" s="1324"/>
      <c r="C481" t="s">
        <v>421</v>
      </c>
      <c r="D481" s="113">
        <v>30525.200000000001</v>
      </c>
    </row>
    <row r="482" spans="1:4">
      <c r="A482" s="107">
        <v>2</v>
      </c>
      <c r="B482" s="1323" t="s">
        <v>800</v>
      </c>
      <c r="C482" t="s">
        <v>444</v>
      </c>
      <c r="D482" s="113">
        <v>0</v>
      </c>
    </row>
    <row r="483" spans="1:4">
      <c r="A483" s="107">
        <v>2</v>
      </c>
      <c r="B483" s="1324"/>
      <c r="C483" t="s">
        <v>445</v>
      </c>
      <c r="D483" s="113">
        <v>0</v>
      </c>
    </row>
    <row r="484" spans="1:4">
      <c r="A484" s="107">
        <v>2</v>
      </c>
      <c r="B484" s="1324"/>
      <c r="C484" t="s">
        <v>446</v>
      </c>
      <c r="D484" s="113">
        <v>27683.8</v>
      </c>
    </row>
    <row r="485" spans="1:4">
      <c r="A485" s="107">
        <v>2</v>
      </c>
      <c r="B485" s="1324"/>
      <c r="C485" t="s">
        <v>1253</v>
      </c>
      <c r="D485" s="113">
        <v>0</v>
      </c>
    </row>
    <row r="486" spans="1:4">
      <c r="A486" s="107">
        <v>2</v>
      </c>
      <c r="B486" s="1324"/>
      <c r="C486" t="s">
        <v>421</v>
      </c>
      <c r="D486" s="113">
        <v>0</v>
      </c>
    </row>
    <row r="487" spans="1:4">
      <c r="A487" s="107">
        <v>2</v>
      </c>
      <c r="B487" s="1323" t="s">
        <v>801</v>
      </c>
      <c r="C487" t="s">
        <v>444</v>
      </c>
      <c r="D487" s="113">
        <v>0</v>
      </c>
    </row>
    <row r="488" spans="1:4">
      <c r="A488" s="107">
        <v>2</v>
      </c>
      <c r="B488" s="1324"/>
      <c r="C488" t="s">
        <v>445</v>
      </c>
      <c r="D488" s="113">
        <v>0</v>
      </c>
    </row>
    <row r="489" spans="1:4">
      <c r="A489" s="107">
        <v>2</v>
      </c>
      <c r="B489" s="1324"/>
      <c r="C489" t="s">
        <v>446</v>
      </c>
      <c r="D489" s="113">
        <v>15963.2</v>
      </c>
    </row>
    <row r="490" spans="1:4">
      <c r="A490" s="107">
        <v>2</v>
      </c>
      <c r="B490" s="1324"/>
      <c r="C490" t="s">
        <v>1253</v>
      </c>
      <c r="D490" s="113">
        <v>0</v>
      </c>
    </row>
    <row r="491" spans="1:4">
      <c r="A491" s="107">
        <v>2</v>
      </c>
      <c r="B491" s="1324"/>
      <c r="C491" t="s">
        <v>421</v>
      </c>
      <c r="D491" s="113">
        <v>0</v>
      </c>
    </row>
    <row r="492" spans="1:4">
      <c r="A492" s="107">
        <v>2</v>
      </c>
      <c r="B492" s="1323" t="s">
        <v>802</v>
      </c>
      <c r="C492" t="s">
        <v>444</v>
      </c>
      <c r="D492" s="113">
        <v>0</v>
      </c>
    </row>
    <row r="493" spans="1:4">
      <c r="A493" s="107">
        <v>2</v>
      </c>
      <c r="B493" s="1324"/>
      <c r="C493" t="s">
        <v>445</v>
      </c>
      <c r="D493" s="113">
        <v>0</v>
      </c>
    </row>
    <row r="494" spans="1:4">
      <c r="A494" s="107">
        <v>2</v>
      </c>
      <c r="B494" s="1324"/>
      <c r="C494" t="s">
        <v>446</v>
      </c>
      <c r="D494" s="113">
        <v>11677.9</v>
      </c>
    </row>
    <row r="495" spans="1:4">
      <c r="A495" s="107">
        <v>2</v>
      </c>
      <c r="B495" s="1324"/>
      <c r="C495" t="s">
        <v>1253</v>
      </c>
      <c r="D495" s="113">
        <v>0</v>
      </c>
    </row>
    <row r="496" spans="1:4">
      <c r="A496" s="107">
        <v>2</v>
      </c>
      <c r="B496" s="1324"/>
      <c r="C496" t="s">
        <v>421</v>
      </c>
      <c r="D496" s="113">
        <v>0</v>
      </c>
    </row>
    <row r="497" spans="1:4">
      <c r="A497" s="107">
        <v>2</v>
      </c>
      <c r="B497" s="1323" t="s">
        <v>803</v>
      </c>
      <c r="C497" t="s">
        <v>444</v>
      </c>
      <c r="D497" s="113">
        <v>0</v>
      </c>
    </row>
    <row r="498" spans="1:4">
      <c r="A498" s="107">
        <v>2</v>
      </c>
      <c r="B498" s="1324"/>
      <c r="C498" t="s">
        <v>445</v>
      </c>
      <c r="D498" s="113">
        <v>0</v>
      </c>
    </row>
    <row r="499" spans="1:4">
      <c r="A499" s="107">
        <v>2</v>
      </c>
      <c r="B499" s="1324"/>
      <c r="C499" t="s">
        <v>446</v>
      </c>
      <c r="D499" s="113">
        <v>32671.200000000001</v>
      </c>
    </row>
    <row r="500" spans="1:4">
      <c r="A500" s="107">
        <v>2</v>
      </c>
      <c r="B500" s="1324"/>
      <c r="C500" t="s">
        <v>1253</v>
      </c>
      <c r="D500" s="113">
        <v>0</v>
      </c>
    </row>
    <row r="501" spans="1:4">
      <c r="A501" s="107">
        <v>2</v>
      </c>
      <c r="B501" s="1324"/>
      <c r="C501" t="s">
        <v>421</v>
      </c>
      <c r="D501" s="113">
        <v>0</v>
      </c>
    </row>
    <row r="502" spans="1:4">
      <c r="A502" s="107">
        <v>2</v>
      </c>
      <c r="B502" s="1323" t="s">
        <v>804</v>
      </c>
      <c r="C502" t="s">
        <v>444</v>
      </c>
      <c r="D502" s="113">
        <v>0</v>
      </c>
    </row>
    <row r="503" spans="1:4">
      <c r="A503" s="107">
        <v>2</v>
      </c>
      <c r="B503" s="1324"/>
      <c r="C503" t="s">
        <v>445</v>
      </c>
      <c r="D503" s="113">
        <v>0</v>
      </c>
    </row>
    <row r="504" spans="1:4">
      <c r="A504" s="107">
        <v>2</v>
      </c>
      <c r="B504" s="1324"/>
      <c r="C504" t="s">
        <v>446</v>
      </c>
      <c r="D504" s="113">
        <v>31473.8</v>
      </c>
    </row>
    <row r="505" spans="1:4">
      <c r="A505" s="107">
        <v>2</v>
      </c>
      <c r="B505" s="1324"/>
      <c r="C505" t="s">
        <v>1253</v>
      </c>
      <c r="D505" s="113">
        <v>0</v>
      </c>
    </row>
    <row r="506" spans="1:4">
      <c r="A506" s="107">
        <v>2</v>
      </c>
      <c r="B506" s="1324"/>
      <c r="C506" t="s">
        <v>421</v>
      </c>
      <c r="D506" s="113">
        <v>0</v>
      </c>
    </row>
    <row r="507" spans="1:4">
      <c r="A507" s="107">
        <v>2</v>
      </c>
      <c r="B507" s="1323" t="s">
        <v>805</v>
      </c>
      <c r="C507" t="s">
        <v>444</v>
      </c>
      <c r="D507" s="113">
        <v>0</v>
      </c>
    </row>
    <row r="508" spans="1:4">
      <c r="A508" s="107">
        <v>2</v>
      </c>
      <c r="B508" s="1324"/>
      <c r="C508" t="s">
        <v>445</v>
      </c>
      <c r="D508" s="113">
        <v>0</v>
      </c>
    </row>
    <row r="509" spans="1:4">
      <c r="A509" s="107">
        <v>2</v>
      </c>
      <c r="B509" s="1324"/>
      <c r="C509" t="s">
        <v>446</v>
      </c>
      <c r="D509" s="113">
        <v>32609</v>
      </c>
    </row>
    <row r="510" spans="1:4">
      <c r="A510" s="107">
        <v>2</v>
      </c>
      <c r="B510" s="1324"/>
      <c r="C510" t="s">
        <v>1253</v>
      </c>
      <c r="D510" s="113">
        <v>0</v>
      </c>
    </row>
    <row r="511" spans="1:4">
      <c r="A511" s="107">
        <v>2</v>
      </c>
      <c r="B511" s="1324"/>
      <c r="C511" t="s">
        <v>421</v>
      </c>
      <c r="D511" s="113">
        <v>0</v>
      </c>
    </row>
    <row r="512" spans="1:4">
      <c r="A512" s="107">
        <v>1</v>
      </c>
      <c r="B512" s="1323" t="s">
        <v>806</v>
      </c>
      <c r="C512" t="s">
        <v>444</v>
      </c>
      <c r="D512" s="113">
        <v>0</v>
      </c>
    </row>
    <row r="513" spans="1:4">
      <c r="A513" s="107">
        <v>1</v>
      </c>
      <c r="B513" s="1324"/>
      <c r="C513" t="s">
        <v>445</v>
      </c>
      <c r="D513" s="113">
        <v>0</v>
      </c>
    </row>
    <row r="514" spans="1:4">
      <c r="A514" s="107">
        <v>1</v>
      </c>
      <c r="B514" s="1324"/>
      <c r="C514" t="s">
        <v>446</v>
      </c>
      <c r="D514" s="113">
        <v>16027.4</v>
      </c>
    </row>
    <row r="515" spans="1:4">
      <c r="A515" s="107">
        <v>1</v>
      </c>
      <c r="B515" s="1324"/>
      <c r="C515" t="s">
        <v>1253</v>
      </c>
      <c r="D515" s="113">
        <v>0</v>
      </c>
    </row>
    <row r="516" spans="1:4">
      <c r="A516" s="107">
        <v>1</v>
      </c>
      <c r="B516" s="1324"/>
      <c r="C516" t="s">
        <v>421</v>
      </c>
      <c r="D516" s="113">
        <v>0</v>
      </c>
    </row>
    <row r="517" spans="1:4">
      <c r="A517" s="107">
        <v>2</v>
      </c>
      <c r="B517" s="1323" t="s">
        <v>807</v>
      </c>
      <c r="C517" t="s">
        <v>444</v>
      </c>
      <c r="D517" s="113">
        <v>0</v>
      </c>
    </row>
    <row r="518" spans="1:4">
      <c r="A518" s="107">
        <v>2</v>
      </c>
      <c r="B518" s="1324"/>
      <c r="C518" t="s">
        <v>445</v>
      </c>
      <c r="D518" s="113">
        <v>0</v>
      </c>
    </row>
    <row r="519" spans="1:4">
      <c r="A519" s="107">
        <v>2</v>
      </c>
      <c r="B519" s="1324"/>
      <c r="C519" t="s">
        <v>446</v>
      </c>
      <c r="D519" s="113">
        <v>38743.699999999997</v>
      </c>
    </row>
    <row r="520" spans="1:4">
      <c r="A520" s="107">
        <v>2</v>
      </c>
      <c r="B520" s="1324"/>
      <c r="C520" t="s">
        <v>1253</v>
      </c>
      <c r="D520" s="113">
        <v>0</v>
      </c>
    </row>
    <row r="521" spans="1:4">
      <c r="A521" s="107">
        <v>2</v>
      </c>
      <c r="B521" s="1324"/>
      <c r="C521" t="s">
        <v>421</v>
      </c>
      <c r="D521" s="113">
        <v>0</v>
      </c>
    </row>
    <row r="522" spans="1:4">
      <c r="A522" s="107">
        <v>2</v>
      </c>
      <c r="B522" s="1323" t="s">
        <v>1526</v>
      </c>
      <c r="C522" t="s">
        <v>444</v>
      </c>
      <c r="D522" s="113">
        <v>0</v>
      </c>
    </row>
    <row r="523" spans="1:4">
      <c r="A523" s="107">
        <v>2</v>
      </c>
      <c r="B523" s="1324"/>
      <c r="C523" t="s">
        <v>445</v>
      </c>
      <c r="D523" s="113">
        <v>0</v>
      </c>
    </row>
    <row r="524" spans="1:4">
      <c r="A524" s="107">
        <v>2</v>
      </c>
      <c r="B524" s="1324"/>
      <c r="C524" t="s">
        <v>446</v>
      </c>
      <c r="D524" s="113">
        <v>30704</v>
      </c>
    </row>
    <row r="525" spans="1:4">
      <c r="A525" s="107">
        <v>2</v>
      </c>
      <c r="B525" s="1324"/>
      <c r="C525" t="s">
        <v>1253</v>
      </c>
      <c r="D525" s="113">
        <v>0</v>
      </c>
    </row>
    <row r="526" spans="1:4">
      <c r="A526" s="107">
        <v>2</v>
      </c>
      <c r="B526" s="1324"/>
      <c r="C526" t="s">
        <v>421</v>
      </c>
      <c r="D526" s="113">
        <v>0</v>
      </c>
    </row>
    <row r="527" spans="1:4">
      <c r="A527" s="107">
        <v>2</v>
      </c>
      <c r="B527" s="1323" t="s">
        <v>808</v>
      </c>
      <c r="C527" t="s">
        <v>444</v>
      </c>
      <c r="D527" s="113">
        <v>0</v>
      </c>
    </row>
    <row r="528" spans="1:4">
      <c r="A528" s="107">
        <v>2</v>
      </c>
      <c r="B528" s="1324"/>
      <c r="C528" t="s">
        <v>445</v>
      </c>
      <c r="D528" s="113">
        <v>0</v>
      </c>
    </row>
    <row r="529" spans="1:4">
      <c r="A529" s="107">
        <v>2</v>
      </c>
      <c r="B529" s="1324"/>
      <c r="C529" t="s">
        <v>446</v>
      </c>
      <c r="D529" s="113">
        <v>34275.9</v>
      </c>
    </row>
    <row r="530" spans="1:4">
      <c r="A530" s="107">
        <v>2</v>
      </c>
      <c r="B530" s="1324"/>
      <c r="C530" t="s">
        <v>1253</v>
      </c>
      <c r="D530" s="113">
        <v>0</v>
      </c>
    </row>
    <row r="531" spans="1:4">
      <c r="A531" s="107">
        <v>2</v>
      </c>
      <c r="B531" s="1324"/>
      <c r="C531" t="s">
        <v>421</v>
      </c>
      <c r="D531" s="113">
        <v>0</v>
      </c>
    </row>
    <row r="532" spans="1:4">
      <c r="A532" s="107">
        <v>2</v>
      </c>
      <c r="B532" s="1323" t="s">
        <v>1527</v>
      </c>
      <c r="C532" t="s">
        <v>444</v>
      </c>
      <c r="D532" s="113">
        <v>0</v>
      </c>
    </row>
    <row r="533" spans="1:4">
      <c r="A533" s="107">
        <v>2</v>
      </c>
      <c r="B533" s="1324"/>
      <c r="C533" t="s">
        <v>445</v>
      </c>
      <c r="D533" s="113">
        <v>0</v>
      </c>
    </row>
    <row r="534" spans="1:4">
      <c r="A534" s="107">
        <v>2</v>
      </c>
      <c r="B534" s="1324"/>
      <c r="C534" t="s">
        <v>446</v>
      </c>
      <c r="D534" s="113">
        <v>30605.200000000001</v>
      </c>
    </row>
    <row r="535" spans="1:4">
      <c r="A535" s="107">
        <v>2</v>
      </c>
      <c r="B535" s="1324"/>
      <c r="C535" t="s">
        <v>1253</v>
      </c>
      <c r="D535" s="113">
        <v>0</v>
      </c>
    </row>
    <row r="536" spans="1:4">
      <c r="A536" s="107">
        <v>2</v>
      </c>
      <c r="B536" s="1324"/>
      <c r="C536" t="s">
        <v>421</v>
      </c>
      <c r="D536" s="113">
        <v>0</v>
      </c>
    </row>
    <row r="537" spans="1:4">
      <c r="A537" s="107">
        <v>2</v>
      </c>
      <c r="B537" s="1323" t="s">
        <v>1528</v>
      </c>
      <c r="C537" t="s">
        <v>444</v>
      </c>
      <c r="D537" s="113">
        <v>0</v>
      </c>
    </row>
    <row r="538" spans="1:4">
      <c r="A538" s="107">
        <v>2</v>
      </c>
      <c r="B538" s="1324"/>
      <c r="C538" t="s">
        <v>445</v>
      </c>
      <c r="D538" s="113">
        <v>0</v>
      </c>
    </row>
    <row r="539" spans="1:4">
      <c r="A539" s="107">
        <v>2</v>
      </c>
      <c r="B539" s="1324"/>
      <c r="C539" t="s">
        <v>446</v>
      </c>
      <c r="D539" s="113">
        <v>30661.1</v>
      </c>
    </row>
    <row r="540" spans="1:4">
      <c r="A540" s="107">
        <v>2</v>
      </c>
      <c r="B540" s="1324"/>
      <c r="C540" t="s">
        <v>1253</v>
      </c>
      <c r="D540" s="113">
        <v>0</v>
      </c>
    </row>
    <row r="541" spans="1:4">
      <c r="A541" s="107">
        <v>2</v>
      </c>
      <c r="B541" s="1324"/>
      <c r="C541" t="s">
        <v>421</v>
      </c>
      <c r="D541" s="113">
        <v>0</v>
      </c>
    </row>
    <row r="542" spans="1:4">
      <c r="A542" s="107">
        <v>2</v>
      </c>
      <c r="B542" s="1323" t="s">
        <v>1529</v>
      </c>
      <c r="C542" t="s">
        <v>444</v>
      </c>
      <c r="D542" s="113">
        <v>0</v>
      </c>
    </row>
    <row r="543" spans="1:4">
      <c r="A543" s="107">
        <v>2</v>
      </c>
      <c r="B543" s="1324"/>
      <c r="C543" t="s">
        <v>445</v>
      </c>
      <c r="D543" s="113">
        <v>0</v>
      </c>
    </row>
    <row r="544" spans="1:4">
      <c r="A544" s="107">
        <v>2</v>
      </c>
      <c r="B544" s="1324"/>
      <c r="C544" t="s">
        <v>446</v>
      </c>
      <c r="D544" s="113">
        <v>16264.9</v>
      </c>
    </row>
    <row r="545" spans="1:4">
      <c r="A545" s="107">
        <v>2</v>
      </c>
      <c r="B545" s="1324"/>
      <c r="C545" t="s">
        <v>1253</v>
      </c>
      <c r="D545" s="113">
        <v>0</v>
      </c>
    </row>
    <row r="546" spans="1:4">
      <c r="A546" s="107">
        <v>2</v>
      </c>
      <c r="B546" s="1324"/>
      <c r="C546" t="s">
        <v>421</v>
      </c>
      <c r="D546" s="113">
        <v>0</v>
      </c>
    </row>
    <row r="547" spans="1:4">
      <c r="A547" s="107">
        <v>2</v>
      </c>
      <c r="B547" s="1323" t="s">
        <v>809</v>
      </c>
      <c r="C547" t="s">
        <v>444</v>
      </c>
      <c r="D547" s="113">
        <v>153076.5</v>
      </c>
    </row>
    <row r="548" spans="1:4">
      <c r="A548" s="107">
        <v>2</v>
      </c>
      <c r="B548" s="1324"/>
      <c r="C548" t="s">
        <v>445</v>
      </c>
      <c r="D548" s="113">
        <v>0</v>
      </c>
    </row>
    <row r="549" spans="1:4">
      <c r="A549" s="107">
        <v>2</v>
      </c>
      <c r="B549" s="1324"/>
      <c r="C549" t="s">
        <v>446</v>
      </c>
      <c r="D549" s="113">
        <v>12506.3</v>
      </c>
    </row>
    <row r="550" spans="1:4">
      <c r="A550" s="107">
        <v>2</v>
      </c>
      <c r="B550" s="1324"/>
      <c r="C550" t="s">
        <v>1253</v>
      </c>
      <c r="D550" s="113">
        <v>0</v>
      </c>
    </row>
    <row r="551" spans="1:4">
      <c r="A551" s="107">
        <v>2</v>
      </c>
      <c r="B551" s="1324"/>
      <c r="C551" t="s">
        <v>421</v>
      </c>
      <c r="D551" s="113">
        <v>7764.5</v>
      </c>
    </row>
    <row r="552" spans="1:4">
      <c r="A552" s="107">
        <v>2</v>
      </c>
      <c r="B552" s="1323" t="s">
        <v>810</v>
      </c>
      <c r="C552" t="s">
        <v>444</v>
      </c>
      <c r="D552" s="113">
        <v>101709.6</v>
      </c>
    </row>
    <row r="553" spans="1:4">
      <c r="A553" s="107">
        <v>2</v>
      </c>
      <c r="B553" s="1324"/>
      <c r="C553" t="s">
        <v>445</v>
      </c>
      <c r="D553" s="113">
        <v>0</v>
      </c>
    </row>
    <row r="554" spans="1:4">
      <c r="A554" s="107">
        <v>2</v>
      </c>
      <c r="B554" s="1324"/>
      <c r="C554" t="s">
        <v>446</v>
      </c>
      <c r="D554" s="113">
        <v>17159.3</v>
      </c>
    </row>
    <row r="555" spans="1:4">
      <c r="A555" s="107">
        <v>2</v>
      </c>
      <c r="B555" s="1324"/>
      <c r="C555" t="s">
        <v>1253</v>
      </c>
      <c r="D555" s="113">
        <v>0</v>
      </c>
    </row>
    <row r="556" spans="1:4">
      <c r="A556" s="107">
        <v>2</v>
      </c>
      <c r="B556" s="1324"/>
      <c r="C556" t="s">
        <v>421</v>
      </c>
      <c r="D556" s="113">
        <v>0</v>
      </c>
    </row>
    <row r="557" spans="1:4">
      <c r="A557" s="107">
        <v>2</v>
      </c>
      <c r="B557" s="1323" t="s">
        <v>811</v>
      </c>
      <c r="C557" t="s">
        <v>444</v>
      </c>
      <c r="D557" s="113">
        <v>0</v>
      </c>
    </row>
    <row r="558" spans="1:4">
      <c r="A558" s="107">
        <v>2</v>
      </c>
      <c r="B558" s="1324"/>
      <c r="C558" t="s">
        <v>445</v>
      </c>
      <c r="D558" s="113">
        <v>0</v>
      </c>
    </row>
    <row r="559" spans="1:4">
      <c r="A559" s="107">
        <v>2</v>
      </c>
      <c r="B559" s="1324"/>
      <c r="C559" t="s">
        <v>446</v>
      </c>
      <c r="D559" s="113">
        <v>18647</v>
      </c>
    </row>
    <row r="560" spans="1:4">
      <c r="A560" s="107">
        <v>2</v>
      </c>
      <c r="B560" s="1324"/>
      <c r="C560" t="s">
        <v>1253</v>
      </c>
      <c r="D560" s="113">
        <v>0</v>
      </c>
    </row>
    <row r="561" spans="1:4">
      <c r="A561" s="107">
        <v>2</v>
      </c>
      <c r="B561" s="1324"/>
      <c r="C561" t="s">
        <v>421</v>
      </c>
      <c r="D561" s="113">
        <v>0</v>
      </c>
    </row>
    <row r="562" spans="1:4">
      <c r="A562" s="107">
        <v>2</v>
      </c>
      <c r="B562" s="1323" t="s">
        <v>812</v>
      </c>
      <c r="C562" t="s">
        <v>444</v>
      </c>
      <c r="D562" s="113">
        <v>0</v>
      </c>
    </row>
    <row r="563" spans="1:4">
      <c r="A563" s="107">
        <v>2</v>
      </c>
      <c r="B563" s="1324"/>
      <c r="C563" t="s">
        <v>445</v>
      </c>
      <c r="D563" s="113">
        <v>0</v>
      </c>
    </row>
    <row r="564" spans="1:4">
      <c r="A564" s="107">
        <v>2</v>
      </c>
      <c r="B564" s="1324"/>
      <c r="C564" t="s">
        <v>446</v>
      </c>
      <c r="D564" s="113">
        <v>25461.200000000001</v>
      </c>
    </row>
    <row r="565" spans="1:4">
      <c r="A565" s="107">
        <v>2</v>
      </c>
      <c r="B565" s="1324"/>
      <c r="C565" t="s">
        <v>1253</v>
      </c>
      <c r="D565" s="113">
        <v>0</v>
      </c>
    </row>
    <row r="566" spans="1:4">
      <c r="A566" s="107">
        <v>2</v>
      </c>
      <c r="B566" s="1324"/>
      <c r="C566" t="s">
        <v>421</v>
      </c>
      <c r="D566" s="113">
        <v>0</v>
      </c>
    </row>
    <row r="567" spans="1:4">
      <c r="A567" s="107">
        <v>2</v>
      </c>
      <c r="B567" s="1323" t="s">
        <v>1530</v>
      </c>
      <c r="C567" t="s">
        <v>444</v>
      </c>
      <c r="D567" s="113">
        <v>0</v>
      </c>
    </row>
    <row r="568" spans="1:4">
      <c r="A568" s="107">
        <v>2</v>
      </c>
      <c r="B568" s="1324"/>
      <c r="C568" t="s">
        <v>445</v>
      </c>
      <c r="D568" s="113">
        <v>0</v>
      </c>
    </row>
    <row r="569" spans="1:4">
      <c r="A569" s="107">
        <v>2</v>
      </c>
      <c r="B569" s="1324"/>
      <c r="C569" t="s">
        <v>446</v>
      </c>
      <c r="D569" s="113">
        <v>5682.2</v>
      </c>
    </row>
    <row r="570" spans="1:4">
      <c r="A570" s="107">
        <v>2</v>
      </c>
      <c r="B570" s="1324"/>
      <c r="C570" t="s">
        <v>1253</v>
      </c>
      <c r="D570" s="113">
        <v>0</v>
      </c>
    </row>
    <row r="571" spans="1:4">
      <c r="A571" s="107">
        <v>2</v>
      </c>
      <c r="B571" s="1324"/>
      <c r="C571" t="s">
        <v>421</v>
      </c>
      <c r="D571" s="113">
        <v>0</v>
      </c>
    </row>
    <row r="572" spans="1:4">
      <c r="A572" s="107">
        <v>1</v>
      </c>
      <c r="B572" s="1323" t="s">
        <v>813</v>
      </c>
      <c r="C572" t="s">
        <v>444</v>
      </c>
      <c r="D572" s="113">
        <v>958743.2</v>
      </c>
    </row>
    <row r="573" spans="1:4">
      <c r="A573" s="107">
        <v>1</v>
      </c>
      <c r="B573" s="1324"/>
      <c r="C573" t="s">
        <v>445</v>
      </c>
      <c r="D573" s="113">
        <v>155491</v>
      </c>
    </row>
    <row r="574" spans="1:4">
      <c r="A574" s="107">
        <v>1</v>
      </c>
      <c r="B574" s="1324"/>
      <c r="C574" t="s">
        <v>446</v>
      </c>
      <c r="D574" s="113">
        <v>88202.8</v>
      </c>
    </row>
    <row r="575" spans="1:4">
      <c r="A575" s="107">
        <v>1</v>
      </c>
      <c r="B575" s="1324"/>
      <c r="C575" t="s">
        <v>1253</v>
      </c>
      <c r="D575" s="113">
        <v>0</v>
      </c>
    </row>
    <row r="576" spans="1:4">
      <c r="A576" s="107">
        <v>1</v>
      </c>
      <c r="B576" s="1324"/>
      <c r="C576" t="s">
        <v>421</v>
      </c>
      <c r="D576" s="113">
        <v>0</v>
      </c>
    </row>
    <row r="577" spans="1:4">
      <c r="A577" s="107">
        <v>1</v>
      </c>
      <c r="B577" s="1323" t="s">
        <v>814</v>
      </c>
      <c r="C577" t="s">
        <v>444</v>
      </c>
      <c r="D577" s="113">
        <v>838248.3</v>
      </c>
    </row>
    <row r="578" spans="1:4">
      <c r="A578" s="107">
        <v>1</v>
      </c>
      <c r="B578" s="1324"/>
      <c r="C578" t="s">
        <v>445</v>
      </c>
      <c r="D578" s="113">
        <v>1754352.3</v>
      </c>
    </row>
    <row r="579" spans="1:4">
      <c r="A579" s="107">
        <v>1</v>
      </c>
      <c r="B579" s="1324"/>
      <c r="C579" t="s">
        <v>446</v>
      </c>
      <c r="D579" s="113">
        <v>124848.3</v>
      </c>
    </row>
    <row r="580" spans="1:4">
      <c r="A580" s="107">
        <v>1</v>
      </c>
      <c r="B580" s="1324"/>
      <c r="C580" t="s">
        <v>1253</v>
      </c>
      <c r="D580" s="113">
        <v>0</v>
      </c>
    </row>
    <row r="581" spans="1:4">
      <c r="A581" s="107">
        <v>1</v>
      </c>
      <c r="B581" s="1324"/>
      <c r="C581" t="s">
        <v>421</v>
      </c>
      <c r="D581" s="113">
        <v>0</v>
      </c>
    </row>
    <row r="582" spans="1:4">
      <c r="A582" s="107">
        <v>2</v>
      </c>
      <c r="B582" s="1323" t="s">
        <v>815</v>
      </c>
      <c r="C582" t="s">
        <v>444</v>
      </c>
      <c r="D582" s="113">
        <v>22258.6</v>
      </c>
    </row>
    <row r="583" spans="1:4">
      <c r="A583" s="107">
        <v>2</v>
      </c>
      <c r="B583" s="1324"/>
      <c r="C583" t="s">
        <v>445</v>
      </c>
      <c r="D583" s="113">
        <v>22401.8</v>
      </c>
    </row>
    <row r="584" spans="1:4">
      <c r="A584" s="107">
        <v>2</v>
      </c>
      <c r="B584" s="1324"/>
      <c r="C584" t="s">
        <v>446</v>
      </c>
      <c r="D584" s="113">
        <v>0</v>
      </c>
    </row>
    <row r="585" spans="1:4">
      <c r="A585" s="107">
        <v>2</v>
      </c>
      <c r="B585" s="1324"/>
      <c r="C585" t="s">
        <v>1253</v>
      </c>
      <c r="D585" s="113">
        <v>0</v>
      </c>
    </row>
    <row r="586" spans="1:4">
      <c r="A586" s="107">
        <v>2</v>
      </c>
      <c r="B586" s="1324"/>
      <c r="C586" t="s">
        <v>421</v>
      </c>
      <c r="D586" s="113">
        <v>0</v>
      </c>
    </row>
    <row r="587" spans="1:4">
      <c r="A587" s="107">
        <v>1</v>
      </c>
      <c r="B587" s="1323" t="s">
        <v>816</v>
      </c>
      <c r="C587" t="s">
        <v>444</v>
      </c>
      <c r="D587" s="113">
        <v>1053660.8999999999</v>
      </c>
    </row>
    <row r="588" spans="1:4">
      <c r="A588" s="107">
        <v>1</v>
      </c>
      <c r="B588" s="1324"/>
      <c r="C588" t="s">
        <v>445</v>
      </c>
      <c r="D588" s="113">
        <v>11462.6</v>
      </c>
    </row>
    <row r="589" spans="1:4">
      <c r="A589" s="107">
        <v>1</v>
      </c>
      <c r="B589" s="1324"/>
      <c r="C589" t="s">
        <v>446</v>
      </c>
      <c r="D589" s="113">
        <v>1949.1</v>
      </c>
    </row>
    <row r="590" spans="1:4">
      <c r="A590" s="107">
        <v>1</v>
      </c>
      <c r="B590" s="1324"/>
      <c r="C590" t="s">
        <v>1253</v>
      </c>
      <c r="D590" s="113">
        <v>0</v>
      </c>
    </row>
    <row r="591" spans="1:4">
      <c r="A591" s="107">
        <v>1</v>
      </c>
      <c r="B591" s="1324"/>
      <c r="C591" t="s">
        <v>421</v>
      </c>
      <c r="D591" s="113">
        <v>0</v>
      </c>
    </row>
    <row r="592" spans="1:4">
      <c r="A592" s="107">
        <v>1</v>
      </c>
      <c r="B592" s="1323" t="s">
        <v>817</v>
      </c>
      <c r="C592" t="s">
        <v>444</v>
      </c>
      <c r="D592" s="113">
        <v>1079900.8</v>
      </c>
    </row>
    <row r="593" spans="1:4">
      <c r="A593" s="107">
        <v>1</v>
      </c>
      <c r="B593" s="1324"/>
      <c r="C593" t="s">
        <v>445</v>
      </c>
      <c r="D593" s="113">
        <v>44639.9</v>
      </c>
    </row>
    <row r="594" spans="1:4">
      <c r="A594" s="107">
        <v>1</v>
      </c>
      <c r="B594" s="1324"/>
      <c r="C594" t="s">
        <v>446</v>
      </c>
      <c r="D594" s="113">
        <v>0</v>
      </c>
    </row>
    <row r="595" spans="1:4">
      <c r="A595" s="107">
        <v>1</v>
      </c>
      <c r="B595" s="1324"/>
      <c r="C595" t="s">
        <v>1253</v>
      </c>
      <c r="D595" s="113">
        <v>0</v>
      </c>
    </row>
    <row r="596" spans="1:4">
      <c r="A596" s="107">
        <v>1</v>
      </c>
      <c r="B596" s="1324"/>
      <c r="C596" t="s">
        <v>421</v>
      </c>
      <c r="D596" s="113">
        <v>0</v>
      </c>
    </row>
    <row r="597" spans="1:4">
      <c r="A597" s="107">
        <v>11</v>
      </c>
      <c r="B597" s="1323" t="s">
        <v>818</v>
      </c>
      <c r="C597" t="s">
        <v>444</v>
      </c>
      <c r="D597" s="113">
        <v>1809078.2</v>
      </c>
    </row>
    <row r="598" spans="1:4">
      <c r="A598" s="107">
        <v>11</v>
      </c>
      <c r="B598" s="1324"/>
      <c r="C598" t="s">
        <v>445</v>
      </c>
      <c r="D598" s="113">
        <v>877582.7</v>
      </c>
    </row>
    <row r="599" spans="1:4">
      <c r="A599" s="107">
        <v>11</v>
      </c>
      <c r="B599" s="1324"/>
      <c r="C599" t="s">
        <v>446</v>
      </c>
      <c r="D599" s="113">
        <v>0</v>
      </c>
    </row>
    <row r="600" spans="1:4">
      <c r="A600" s="107">
        <v>11</v>
      </c>
      <c r="B600" s="1324"/>
      <c r="C600" t="s">
        <v>1253</v>
      </c>
      <c r="D600" s="113">
        <v>0</v>
      </c>
    </row>
    <row r="601" spans="1:4">
      <c r="A601" s="107">
        <v>11</v>
      </c>
      <c r="B601" s="1325"/>
      <c r="C601" t="s">
        <v>421</v>
      </c>
      <c r="D601" s="113">
        <v>0</v>
      </c>
    </row>
    <row r="602" spans="1:4">
      <c r="A602" s="107">
        <v>15</v>
      </c>
      <c r="B602" s="1323" t="s">
        <v>819</v>
      </c>
      <c r="C602" t="s">
        <v>444</v>
      </c>
      <c r="D602" s="113">
        <v>506593.3</v>
      </c>
    </row>
    <row r="603" spans="1:4">
      <c r="A603" s="107">
        <v>15</v>
      </c>
      <c r="B603" s="1324"/>
      <c r="C603" t="s">
        <v>445</v>
      </c>
      <c r="D603" s="113">
        <v>121649</v>
      </c>
    </row>
    <row r="604" spans="1:4">
      <c r="A604" s="107">
        <v>15</v>
      </c>
      <c r="B604" s="1324"/>
      <c r="C604" t="s">
        <v>446</v>
      </c>
      <c r="D604" s="113">
        <v>0</v>
      </c>
    </row>
    <row r="605" spans="1:4">
      <c r="A605" s="107">
        <v>15</v>
      </c>
      <c r="B605" s="1324"/>
      <c r="C605" t="s">
        <v>1253</v>
      </c>
      <c r="D605" s="113">
        <v>0</v>
      </c>
    </row>
    <row r="606" spans="1:4">
      <c r="A606" s="107">
        <v>15</v>
      </c>
      <c r="B606" s="1324"/>
      <c r="C606" t="s">
        <v>421</v>
      </c>
      <c r="D606" s="113">
        <v>18797.7</v>
      </c>
    </row>
    <row r="607" spans="1:4">
      <c r="A607" s="107">
        <v>8</v>
      </c>
      <c r="B607" s="1323" t="s">
        <v>820</v>
      </c>
      <c r="C607" t="s">
        <v>444</v>
      </c>
      <c r="D607" s="113">
        <v>196723.6</v>
      </c>
    </row>
    <row r="608" spans="1:4">
      <c r="A608" s="107">
        <v>8</v>
      </c>
      <c r="B608" s="1324"/>
      <c r="C608" t="s">
        <v>445</v>
      </c>
      <c r="D608" s="113">
        <v>450915.8</v>
      </c>
    </row>
    <row r="609" spans="1:4">
      <c r="A609" s="107">
        <v>8</v>
      </c>
      <c r="B609" s="1324"/>
      <c r="C609" t="s">
        <v>446</v>
      </c>
      <c r="D609" s="113">
        <v>216120.4</v>
      </c>
    </row>
    <row r="610" spans="1:4">
      <c r="A610" s="107">
        <v>8</v>
      </c>
      <c r="B610" s="1324"/>
      <c r="C610" t="s">
        <v>1253</v>
      </c>
      <c r="D610" s="113">
        <v>0</v>
      </c>
    </row>
    <row r="611" spans="1:4">
      <c r="A611" s="107">
        <v>8</v>
      </c>
      <c r="B611" s="1324"/>
      <c r="C611" t="s">
        <v>421</v>
      </c>
      <c r="D611" s="113">
        <v>16129.5</v>
      </c>
    </row>
    <row r="612" spans="1:4">
      <c r="A612" s="107">
        <v>1</v>
      </c>
      <c r="B612" s="1323" t="s">
        <v>821</v>
      </c>
      <c r="C612" t="s">
        <v>444</v>
      </c>
      <c r="D612" s="113">
        <v>192858.6</v>
      </c>
    </row>
    <row r="613" spans="1:4">
      <c r="A613" s="107">
        <v>1</v>
      </c>
      <c r="B613" s="1324"/>
      <c r="C613" t="s">
        <v>445</v>
      </c>
      <c r="D613" s="113">
        <v>0</v>
      </c>
    </row>
    <row r="614" spans="1:4">
      <c r="A614" s="107">
        <v>1</v>
      </c>
      <c r="B614" s="1324"/>
      <c r="C614" t="s">
        <v>446</v>
      </c>
      <c r="D614" s="113">
        <v>11473.6</v>
      </c>
    </row>
    <row r="615" spans="1:4">
      <c r="A615" s="107">
        <v>1</v>
      </c>
      <c r="B615" s="1324"/>
      <c r="C615" t="s">
        <v>1253</v>
      </c>
      <c r="D615" s="113">
        <v>0</v>
      </c>
    </row>
    <row r="616" spans="1:4">
      <c r="A616" s="107">
        <v>1</v>
      </c>
      <c r="B616" s="1324"/>
      <c r="C616" t="s">
        <v>421</v>
      </c>
      <c r="D616" s="113">
        <v>0</v>
      </c>
    </row>
    <row r="617" spans="1:4">
      <c r="A617" s="107">
        <v>4</v>
      </c>
      <c r="B617" s="1323" t="s">
        <v>822</v>
      </c>
      <c r="C617" t="s">
        <v>444</v>
      </c>
      <c r="D617" s="113">
        <v>393688.6</v>
      </c>
    </row>
    <row r="618" spans="1:4">
      <c r="A618" s="107">
        <v>4</v>
      </c>
      <c r="B618" s="1324"/>
      <c r="C618" t="s">
        <v>445</v>
      </c>
      <c r="D618" s="113">
        <v>0</v>
      </c>
    </row>
    <row r="619" spans="1:4">
      <c r="A619" s="107">
        <v>4</v>
      </c>
      <c r="B619" s="1324"/>
      <c r="C619" t="s">
        <v>446</v>
      </c>
      <c r="D619" s="113">
        <v>3335.7</v>
      </c>
    </row>
    <row r="620" spans="1:4">
      <c r="A620" s="107">
        <v>4</v>
      </c>
      <c r="B620" s="1324"/>
      <c r="C620" t="s">
        <v>1253</v>
      </c>
      <c r="D620" s="113">
        <v>0</v>
      </c>
    </row>
    <row r="621" spans="1:4">
      <c r="A621" s="107">
        <v>4</v>
      </c>
      <c r="B621" s="1324"/>
      <c r="C621" t="s">
        <v>421</v>
      </c>
      <c r="D621" s="113">
        <v>6110.1</v>
      </c>
    </row>
    <row r="622" spans="1:4">
      <c r="A622" s="107">
        <v>15</v>
      </c>
      <c r="B622" s="1323" t="s">
        <v>823</v>
      </c>
      <c r="C622" t="s">
        <v>444</v>
      </c>
      <c r="D622" s="113">
        <v>208933.3</v>
      </c>
    </row>
    <row r="623" spans="1:4">
      <c r="A623" s="107">
        <v>15</v>
      </c>
      <c r="B623" s="1324"/>
      <c r="C623" t="s">
        <v>445</v>
      </c>
      <c r="D623" s="113">
        <v>301569.2</v>
      </c>
    </row>
    <row r="624" spans="1:4">
      <c r="A624" s="107">
        <v>15</v>
      </c>
      <c r="B624" s="1324"/>
      <c r="C624" t="s">
        <v>446</v>
      </c>
      <c r="D624" s="113">
        <v>0</v>
      </c>
    </row>
    <row r="625" spans="1:4">
      <c r="A625" s="107">
        <v>15</v>
      </c>
      <c r="B625" s="1324"/>
      <c r="C625" t="s">
        <v>1253</v>
      </c>
      <c r="D625" s="113">
        <v>0</v>
      </c>
    </row>
    <row r="626" spans="1:4">
      <c r="A626" s="107">
        <v>15</v>
      </c>
      <c r="B626" s="1324"/>
      <c r="C626" t="s">
        <v>421</v>
      </c>
      <c r="D626" s="113">
        <v>32005.3</v>
      </c>
    </row>
    <row r="627" spans="1:4">
      <c r="A627" s="107">
        <v>12</v>
      </c>
      <c r="B627" s="1323" t="s">
        <v>824</v>
      </c>
      <c r="C627" t="s">
        <v>444</v>
      </c>
      <c r="D627" s="113">
        <v>473336.6</v>
      </c>
    </row>
    <row r="628" spans="1:4">
      <c r="A628" s="107">
        <v>12</v>
      </c>
      <c r="B628" s="1324"/>
      <c r="C628" t="s">
        <v>445</v>
      </c>
      <c r="D628" s="113">
        <v>0</v>
      </c>
    </row>
    <row r="629" spans="1:4">
      <c r="A629" s="107">
        <v>12</v>
      </c>
      <c r="B629" s="1324"/>
      <c r="C629" t="s">
        <v>446</v>
      </c>
      <c r="D629" s="113">
        <v>0</v>
      </c>
    </row>
    <row r="630" spans="1:4">
      <c r="A630" s="107">
        <v>12</v>
      </c>
      <c r="B630" s="1324"/>
      <c r="C630" t="s">
        <v>1253</v>
      </c>
      <c r="D630" s="113">
        <v>0</v>
      </c>
    </row>
    <row r="631" spans="1:4">
      <c r="A631" s="107">
        <v>12</v>
      </c>
      <c r="B631" s="1325"/>
      <c r="C631" t="s">
        <v>421</v>
      </c>
      <c r="D631" s="113">
        <v>0</v>
      </c>
    </row>
    <row r="632" spans="1:4">
      <c r="A632" s="107">
        <v>5</v>
      </c>
      <c r="B632" s="1323" t="s">
        <v>825</v>
      </c>
      <c r="C632" t="s">
        <v>444</v>
      </c>
      <c r="D632" s="113">
        <v>250318.3</v>
      </c>
    </row>
    <row r="633" spans="1:4">
      <c r="A633" s="107">
        <v>5</v>
      </c>
      <c r="B633" s="1324"/>
      <c r="C633" t="s">
        <v>445</v>
      </c>
      <c r="D633" s="113">
        <v>0</v>
      </c>
    </row>
    <row r="634" spans="1:4">
      <c r="A634" s="107">
        <v>5</v>
      </c>
      <c r="B634" s="1324"/>
      <c r="C634" t="s">
        <v>446</v>
      </c>
      <c r="D634" s="113">
        <v>0</v>
      </c>
    </row>
    <row r="635" spans="1:4">
      <c r="A635" s="107">
        <v>5</v>
      </c>
      <c r="B635" s="1324"/>
      <c r="C635" t="s">
        <v>1253</v>
      </c>
      <c r="D635" s="113">
        <v>0</v>
      </c>
    </row>
    <row r="636" spans="1:4">
      <c r="A636" s="107">
        <v>5</v>
      </c>
      <c r="B636" s="1325"/>
      <c r="C636" t="s">
        <v>421</v>
      </c>
      <c r="D636" s="113">
        <v>0</v>
      </c>
    </row>
    <row r="637" spans="1:4">
      <c r="A637" s="107">
        <v>1</v>
      </c>
      <c r="B637" s="1323" t="s">
        <v>826</v>
      </c>
      <c r="C637" t="s">
        <v>444</v>
      </c>
      <c r="D637" s="113">
        <v>205918.2</v>
      </c>
    </row>
    <row r="638" spans="1:4">
      <c r="A638" s="107">
        <v>1</v>
      </c>
      <c r="B638" s="1324"/>
      <c r="C638" t="s">
        <v>445</v>
      </c>
      <c r="D638" s="113">
        <v>6402</v>
      </c>
    </row>
    <row r="639" spans="1:4">
      <c r="A639" s="107">
        <v>1</v>
      </c>
      <c r="B639" s="1324"/>
      <c r="C639" t="s">
        <v>446</v>
      </c>
      <c r="D639" s="113">
        <v>0</v>
      </c>
    </row>
    <row r="640" spans="1:4">
      <c r="A640" s="107">
        <v>1</v>
      </c>
      <c r="B640" s="1324"/>
      <c r="C640" t="s">
        <v>1253</v>
      </c>
      <c r="D640" s="113">
        <v>0</v>
      </c>
    </row>
    <row r="641" spans="1:4">
      <c r="A641" s="107">
        <v>1</v>
      </c>
      <c r="B641" s="1324"/>
      <c r="C641" t="s">
        <v>421</v>
      </c>
      <c r="D641" s="113">
        <v>0</v>
      </c>
    </row>
    <row r="642" spans="1:4">
      <c r="A642" s="107">
        <v>1</v>
      </c>
      <c r="B642" s="1323" t="s">
        <v>827</v>
      </c>
      <c r="C642" t="s">
        <v>444</v>
      </c>
      <c r="D642" s="113">
        <v>1056999.6000000001</v>
      </c>
    </row>
    <row r="643" spans="1:4">
      <c r="A643" s="107">
        <v>1</v>
      </c>
      <c r="B643" s="1324"/>
      <c r="C643" t="s">
        <v>445</v>
      </c>
      <c r="D643" s="113">
        <v>40047.1</v>
      </c>
    </row>
    <row r="644" spans="1:4">
      <c r="A644" s="107">
        <v>1</v>
      </c>
      <c r="B644" s="1324"/>
      <c r="C644" t="s">
        <v>446</v>
      </c>
      <c r="D644" s="113">
        <v>73307.899999999994</v>
      </c>
    </row>
    <row r="645" spans="1:4">
      <c r="A645" s="107">
        <v>1</v>
      </c>
      <c r="B645" s="1324"/>
      <c r="C645" t="s">
        <v>1253</v>
      </c>
      <c r="D645" s="113">
        <v>0</v>
      </c>
    </row>
    <row r="646" spans="1:4">
      <c r="A646" s="107">
        <v>1</v>
      </c>
      <c r="B646" s="1324"/>
      <c r="C646" t="s">
        <v>421</v>
      </c>
      <c r="D646" s="113">
        <v>46709.9</v>
      </c>
    </row>
    <row r="647" spans="1:4">
      <c r="A647" s="107">
        <v>4</v>
      </c>
      <c r="B647" s="1323" t="s">
        <v>828</v>
      </c>
      <c r="C647" t="s">
        <v>444</v>
      </c>
      <c r="D647" s="113">
        <v>703895.7</v>
      </c>
    </row>
    <row r="648" spans="1:4">
      <c r="A648" s="107">
        <v>4</v>
      </c>
      <c r="B648" s="1324"/>
      <c r="C648" t="s">
        <v>445</v>
      </c>
      <c r="D648" s="113">
        <v>331947.90000000002</v>
      </c>
    </row>
    <row r="649" spans="1:4">
      <c r="A649" s="107">
        <v>4</v>
      </c>
      <c r="B649" s="1324"/>
      <c r="C649" t="s">
        <v>446</v>
      </c>
      <c r="D649" s="113">
        <v>7505.2</v>
      </c>
    </row>
    <row r="650" spans="1:4">
      <c r="A650" s="107">
        <v>4</v>
      </c>
      <c r="B650" s="1324"/>
      <c r="C650" t="s">
        <v>1253</v>
      </c>
      <c r="D650" s="113">
        <v>0</v>
      </c>
    </row>
    <row r="651" spans="1:4">
      <c r="A651" s="107">
        <v>4</v>
      </c>
      <c r="B651" s="1324"/>
      <c r="C651" t="s">
        <v>421</v>
      </c>
      <c r="D651" s="113">
        <v>0</v>
      </c>
    </row>
    <row r="652" spans="1:4">
      <c r="A652" s="107">
        <v>1</v>
      </c>
      <c r="B652" s="1323" t="s">
        <v>829</v>
      </c>
      <c r="C652" t="s">
        <v>444</v>
      </c>
      <c r="D652" s="113">
        <v>947216</v>
      </c>
    </row>
    <row r="653" spans="1:4">
      <c r="A653" s="107">
        <v>1</v>
      </c>
      <c r="B653" s="1324"/>
      <c r="C653" t="s">
        <v>445</v>
      </c>
      <c r="D653" s="113">
        <v>133573</v>
      </c>
    </row>
    <row r="654" spans="1:4">
      <c r="A654" s="107">
        <v>1</v>
      </c>
      <c r="B654" s="1324"/>
      <c r="C654" t="s">
        <v>446</v>
      </c>
      <c r="D654" s="113">
        <v>256577</v>
      </c>
    </row>
    <row r="655" spans="1:4">
      <c r="A655" s="107">
        <v>1</v>
      </c>
      <c r="B655" s="1324"/>
      <c r="C655" t="s">
        <v>1253</v>
      </c>
      <c r="D655" s="113">
        <v>0</v>
      </c>
    </row>
    <row r="656" spans="1:4">
      <c r="A656" s="107">
        <v>1</v>
      </c>
      <c r="B656" s="1324"/>
      <c r="C656" t="s">
        <v>421</v>
      </c>
      <c r="D656" s="113">
        <v>11413.8</v>
      </c>
    </row>
    <row r="657" spans="1:4">
      <c r="A657" s="107">
        <v>8</v>
      </c>
      <c r="B657" s="1323" t="s">
        <v>830</v>
      </c>
      <c r="C657" t="s">
        <v>444</v>
      </c>
      <c r="D657" s="113">
        <v>113309.2</v>
      </c>
    </row>
    <row r="658" spans="1:4">
      <c r="A658" s="107">
        <v>8</v>
      </c>
      <c r="B658" s="1324"/>
      <c r="C658" t="s">
        <v>445</v>
      </c>
      <c r="D658" s="113">
        <v>0</v>
      </c>
    </row>
    <row r="659" spans="1:4">
      <c r="A659" s="107">
        <v>8</v>
      </c>
      <c r="B659" s="1324"/>
      <c r="C659" t="s">
        <v>446</v>
      </c>
      <c r="D659" s="113">
        <v>1503.6</v>
      </c>
    </row>
    <row r="660" spans="1:4">
      <c r="A660" s="107">
        <v>8</v>
      </c>
      <c r="B660" s="1324"/>
      <c r="C660" t="s">
        <v>1253</v>
      </c>
      <c r="D660" s="113">
        <v>0</v>
      </c>
    </row>
    <row r="661" spans="1:4">
      <c r="A661" s="107">
        <v>8</v>
      </c>
      <c r="B661" s="1324"/>
      <c r="C661" t="s">
        <v>421</v>
      </c>
      <c r="D661" s="113">
        <v>0</v>
      </c>
    </row>
    <row r="662" spans="1:4">
      <c r="A662" s="107">
        <v>8</v>
      </c>
      <c r="B662" s="1323" t="s">
        <v>831</v>
      </c>
      <c r="C662" t="s">
        <v>444</v>
      </c>
      <c r="D662" s="113">
        <v>713592.8</v>
      </c>
    </row>
    <row r="663" spans="1:4">
      <c r="A663" s="107">
        <v>8</v>
      </c>
      <c r="B663" s="1324"/>
      <c r="C663" t="s">
        <v>445</v>
      </c>
      <c r="D663" s="113">
        <v>1296330</v>
      </c>
    </row>
    <row r="664" spans="1:4">
      <c r="A664" s="107">
        <v>8</v>
      </c>
      <c r="B664" s="1324"/>
      <c r="C664" t="s">
        <v>446</v>
      </c>
      <c r="D664" s="113">
        <v>52496.2</v>
      </c>
    </row>
    <row r="665" spans="1:4">
      <c r="A665" s="107">
        <v>8</v>
      </c>
      <c r="B665" s="1324"/>
      <c r="C665" t="s">
        <v>1253</v>
      </c>
      <c r="D665" s="113">
        <v>63712</v>
      </c>
    </row>
    <row r="666" spans="1:4">
      <c r="A666" s="107">
        <v>8</v>
      </c>
      <c r="B666" s="1324"/>
      <c r="C666" t="s">
        <v>421</v>
      </c>
      <c r="D666" s="113">
        <v>44740.6</v>
      </c>
    </row>
    <row r="667" spans="1:4">
      <c r="A667" s="107">
        <v>1</v>
      </c>
      <c r="B667" s="1323" t="s">
        <v>832</v>
      </c>
      <c r="C667" t="s">
        <v>444</v>
      </c>
      <c r="D667" s="113">
        <v>160266.79999999999</v>
      </c>
    </row>
    <row r="668" spans="1:4">
      <c r="A668" s="107">
        <v>1</v>
      </c>
      <c r="B668" s="1324"/>
      <c r="C668" t="s">
        <v>445</v>
      </c>
      <c r="D668" s="113">
        <v>0</v>
      </c>
    </row>
    <row r="669" spans="1:4">
      <c r="A669" s="107">
        <v>1</v>
      </c>
      <c r="B669" s="1324"/>
      <c r="C669" t="s">
        <v>446</v>
      </c>
      <c r="D669" s="113">
        <v>0</v>
      </c>
    </row>
    <row r="670" spans="1:4">
      <c r="A670" s="107">
        <v>1</v>
      </c>
      <c r="B670" s="1324"/>
      <c r="C670" t="s">
        <v>1253</v>
      </c>
      <c r="D670" s="113">
        <v>0</v>
      </c>
    </row>
    <row r="671" spans="1:4">
      <c r="A671" s="107">
        <v>1</v>
      </c>
      <c r="B671" s="1325"/>
      <c r="C671" t="s">
        <v>421</v>
      </c>
      <c r="D671" s="113">
        <v>0</v>
      </c>
    </row>
    <row r="672" spans="1:4">
      <c r="A672" s="107">
        <v>6</v>
      </c>
      <c r="B672" s="1323" t="s">
        <v>833</v>
      </c>
      <c r="C672" t="s">
        <v>444</v>
      </c>
      <c r="D672" s="113">
        <v>885917.4</v>
      </c>
    </row>
    <row r="673" spans="1:4">
      <c r="A673" s="107">
        <v>6</v>
      </c>
      <c r="B673" s="1324"/>
      <c r="C673" t="s">
        <v>445</v>
      </c>
      <c r="D673" s="113">
        <v>404709.5</v>
      </c>
    </row>
    <row r="674" spans="1:4">
      <c r="A674" s="107">
        <v>6</v>
      </c>
      <c r="B674" s="1324"/>
      <c r="C674" t="s">
        <v>446</v>
      </c>
      <c r="D674" s="113">
        <v>49058.1</v>
      </c>
    </row>
    <row r="675" spans="1:4">
      <c r="A675" s="107">
        <v>6</v>
      </c>
      <c r="B675" s="1324"/>
      <c r="C675" t="s">
        <v>1253</v>
      </c>
      <c r="D675" s="113">
        <v>0</v>
      </c>
    </row>
    <row r="676" spans="1:4">
      <c r="A676" s="107">
        <v>6</v>
      </c>
      <c r="B676" s="1324"/>
      <c r="C676" t="s">
        <v>421</v>
      </c>
      <c r="D676" s="113">
        <v>10771.1</v>
      </c>
    </row>
    <row r="677" spans="1:4">
      <c r="A677" s="107">
        <v>1</v>
      </c>
      <c r="B677" s="1323" t="s">
        <v>834</v>
      </c>
      <c r="C677" t="s">
        <v>444</v>
      </c>
      <c r="D677" s="113">
        <v>329367.90000000002</v>
      </c>
    </row>
    <row r="678" spans="1:4">
      <c r="A678" s="107">
        <v>1</v>
      </c>
      <c r="B678" s="1324"/>
      <c r="C678" t="s">
        <v>445</v>
      </c>
      <c r="D678" s="113">
        <v>608919.5</v>
      </c>
    </row>
    <row r="679" spans="1:4">
      <c r="A679" s="107">
        <v>1</v>
      </c>
      <c r="B679" s="1324"/>
      <c r="C679" t="s">
        <v>446</v>
      </c>
      <c r="D679" s="113">
        <v>89918.6</v>
      </c>
    </row>
    <row r="680" spans="1:4">
      <c r="A680" s="107">
        <v>1</v>
      </c>
      <c r="B680" s="1324"/>
      <c r="C680" t="s">
        <v>1253</v>
      </c>
      <c r="D680" s="113">
        <v>0</v>
      </c>
    </row>
    <row r="681" spans="1:4">
      <c r="A681" s="107">
        <v>1</v>
      </c>
      <c r="B681" s="1324"/>
      <c r="C681" t="s">
        <v>421</v>
      </c>
      <c r="D681" s="113">
        <v>0</v>
      </c>
    </row>
    <row r="682" spans="1:4">
      <c r="A682" s="107">
        <v>2</v>
      </c>
      <c r="B682" s="1323" t="s">
        <v>835</v>
      </c>
      <c r="C682" t="s">
        <v>444</v>
      </c>
      <c r="D682" s="113">
        <v>10850</v>
      </c>
    </row>
    <row r="683" spans="1:4">
      <c r="A683" s="107">
        <v>2</v>
      </c>
      <c r="B683" s="1324"/>
      <c r="C683" t="s">
        <v>445</v>
      </c>
      <c r="D683" s="113">
        <v>0</v>
      </c>
    </row>
    <row r="684" spans="1:4">
      <c r="A684" s="107">
        <v>2</v>
      </c>
      <c r="B684" s="1324"/>
      <c r="C684" t="s">
        <v>446</v>
      </c>
      <c r="D684" s="113">
        <v>103912</v>
      </c>
    </row>
    <row r="685" spans="1:4">
      <c r="A685" s="107">
        <v>2</v>
      </c>
      <c r="B685" s="1324"/>
      <c r="C685" t="s">
        <v>1253</v>
      </c>
      <c r="D685" s="113">
        <v>0</v>
      </c>
    </row>
    <row r="686" spans="1:4">
      <c r="A686" s="107">
        <v>2</v>
      </c>
      <c r="B686" s="1325"/>
      <c r="C686" t="s">
        <v>421</v>
      </c>
      <c r="D686" s="113">
        <v>0</v>
      </c>
    </row>
    <row r="687" spans="1:4">
      <c r="A687" s="107">
        <v>3</v>
      </c>
      <c r="B687" s="1323" t="s">
        <v>836</v>
      </c>
      <c r="C687" t="s">
        <v>444</v>
      </c>
      <c r="D687" s="113">
        <v>43048.1</v>
      </c>
    </row>
    <row r="688" spans="1:4">
      <c r="A688" s="107">
        <v>3</v>
      </c>
      <c r="B688" s="1324"/>
      <c r="C688" t="s">
        <v>445</v>
      </c>
      <c r="D688" s="113">
        <v>0</v>
      </c>
    </row>
    <row r="689" spans="1:4">
      <c r="A689" s="107">
        <v>3</v>
      </c>
      <c r="B689" s="1324"/>
      <c r="C689" t="s">
        <v>446</v>
      </c>
      <c r="D689" s="113">
        <v>13949.8</v>
      </c>
    </row>
    <row r="690" spans="1:4">
      <c r="A690" s="107">
        <v>3</v>
      </c>
      <c r="B690" s="1324"/>
      <c r="C690" t="s">
        <v>1253</v>
      </c>
      <c r="D690" s="113">
        <v>0</v>
      </c>
    </row>
    <row r="691" spans="1:4">
      <c r="A691" s="107">
        <v>3</v>
      </c>
      <c r="B691" s="1324"/>
      <c r="C691" t="s">
        <v>421</v>
      </c>
      <c r="D691" s="113">
        <v>0</v>
      </c>
    </row>
    <row r="692" spans="1:4">
      <c r="A692" s="107">
        <v>15</v>
      </c>
      <c r="B692" s="1323" t="s">
        <v>837</v>
      </c>
      <c r="C692" t="s">
        <v>444</v>
      </c>
      <c r="D692" s="113">
        <v>209444.7</v>
      </c>
    </row>
    <row r="693" spans="1:4">
      <c r="A693" s="107">
        <v>15</v>
      </c>
      <c r="B693" s="1324"/>
      <c r="C693" t="s">
        <v>445</v>
      </c>
      <c r="D693" s="113">
        <v>2029812.9</v>
      </c>
    </row>
    <row r="694" spans="1:4">
      <c r="A694" s="107">
        <v>15</v>
      </c>
      <c r="B694" s="1324"/>
      <c r="C694" t="s">
        <v>446</v>
      </c>
      <c r="D694" s="113">
        <v>0</v>
      </c>
    </row>
    <row r="695" spans="1:4">
      <c r="A695" s="107">
        <v>15</v>
      </c>
      <c r="B695" s="1324"/>
      <c r="C695" t="s">
        <v>1253</v>
      </c>
      <c r="D695" s="113">
        <v>0</v>
      </c>
    </row>
    <row r="696" spans="1:4">
      <c r="A696" s="107">
        <v>15</v>
      </c>
      <c r="B696" s="1324"/>
      <c r="C696" t="s">
        <v>421</v>
      </c>
      <c r="D696" s="113">
        <v>6370.4</v>
      </c>
    </row>
    <row r="697" spans="1:4">
      <c r="A697" s="107">
        <v>1</v>
      </c>
      <c r="B697" s="1323" t="s">
        <v>838</v>
      </c>
      <c r="C697" t="s">
        <v>444</v>
      </c>
      <c r="D697" s="113">
        <v>78227</v>
      </c>
    </row>
    <row r="698" spans="1:4">
      <c r="A698" s="107">
        <v>1</v>
      </c>
      <c r="B698" s="1324"/>
      <c r="C698" t="s">
        <v>445</v>
      </c>
      <c r="D698" s="113">
        <v>177159</v>
      </c>
    </row>
    <row r="699" spans="1:4">
      <c r="A699" s="107">
        <v>1</v>
      </c>
      <c r="B699" s="1324"/>
      <c r="C699" t="s">
        <v>446</v>
      </c>
      <c r="D699" s="113">
        <v>0</v>
      </c>
    </row>
    <row r="700" spans="1:4">
      <c r="A700" s="107">
        <v>1</v>
      </c>
      <c r="B700" s="1324"/>
      <c r="C700" t="s">
        <v>1253</v>
      </c>
      <c r="D700" s="113">
        <v>0</v>
      </c>
    </row>
    <row r="701" spans="1:4">
      <c r="A701" s="107">
        <v>1</v>
      </c>
      <c r="B701" s="1324"/>
      <c r="C701" t="s">
        <v>421</v>
      </c>
      <c r="D701" s="113">
        <v>0</v>
      </c>
    </row>
    <row r="702" spans="1:4">
      <c r="A702" s="107">
        <v>13</v>
      </c>
      <c r="B702" s="1323" t="s">
        <v>839</v>
      </c>
      <c r="C702" t="s">
        <v>444</v>
      </c>
      <c r="D702" s="113">
        <v>1625432.8</v>
      </c>
    </row>
    <row r="703" spans="1:4">
      <c r="A703" s="107">
        <v>13</v>
      </c>
      <c r="B703" s="1324"/>
      <c r="C703" t="s">
        <v>445</v>
      </c>
      <c r="D703" s="113">
        <v>0</v>
      </c>
    </row>
    <row r="704" spans="1:4">
      <c r="A704" s="107">
        <v>13</v>
      </c>
      <c r="B704" s="1324"/>
      <c r="C704" t="s">
        <v>446</v>
      </c>
      <c r="D704" s="113">
        <v>0</v>
      </c>
    </row>
    <row r="705" spans="1:4">
      <c r="A705" s="107">
        <v>13</v>
      </c>
      <c r="B705" s="1324"/>
      <c r="C705" t="s">
        <v>1253</v>
      </c>
      <c r="D705" s="113">
        <v>0</v>
      </c>
    </row>
    <row r="706" spans="1:4">
      <c r="A706" s="107">
        <v>13</v>
      </c>
      <c r="B706" s="1325"/>
      <c r="C706" t="s">
        <v>421</v>
      </c>
      <c r="D706" s="113">
        <v>0</v>
      </c>
    </row>
    <row r="707" spans="1:4">
      <c r="A707" s="107">
        <v>1</v>
      </c>
      <c r="B707" s="1323" t="s">
        <v>840</v>
      </c>
      <c r="C707" t="s">
        <v>444</v>
      </c>
      <c r="D707" s="113">
        <v>18707</v>
      </c>
    </row>
    <row r="708" spans="1:4">
      <c r="A708" s="107">
        <v>1</v>
      </c>
      <c r="B708" s="1324"/>
      <c r="C708" t="s">
        <v>445</v>
      </c>
      <c r="D708" s="113">
        <v>0</v>
      </c>
    </row>
    <row r="709" spans="1:4">
      <c r="A709" s="107">
        <v>1</v>
      </c>
      <c r="B709" s="1324"/>
      <c r="C709" t="s">
        <v>446</v>
      </c>
      <c r="D709" s="113">
        <v>1905</v>
      </c>
    </row>
    <row r="710" spans="1:4">
      <c r="A710" s="107">
        <v>1</v>
      </c>
      <c r="B710" s="1324"/>
      <c r="C710" t="s">
        <v>1253</v>
      </c>
      <c r="D710" s="113">
        <v>0</v>
      </c>
    </row>
    <row r="711" spans="1:4">
      <c r="A711" s="107">
        <v>1</v>
      </c>
      <c r="B711" s="1324"/>
      <c r="C711" t="s">
        <v>421</v>
      </c>
      <c r="D711" s="113">
        <v>0</v>
      </c>
    </row>
    <row r="712" spans="1:4">
      <c r="A712" s="107">
        <v>1</v>
      </c>
      <c r="B712" s="1323" t="s">
        <v>841</v>
      </c>
      <c r="C712" t="s">
        <v>444</v>
      </c>
      <c r="D712" s="113">
        <v>306071</v>
      </c>
    </row>
    <row r="713" spans="1:4">
      <c r="A713" s="107">
        <v>1</v>
      </c>
      <c r="B713" s="1324"/>
      <c r="C713" t="s">
        <v>445</v>
      </c>
      <c r="D713" s="113">
        <v>0</v>
      </c>
    </row>
    <row r="714" spans="1:4">
      <c r="A714" s="107">
        <v>1</v>
      </c>
      <c r="B714" s="1324"/>
      <c r="C714" t="s">
        <v>446</v>
      </c>
      <c r="D714" s="113">
        <v>0</v>
      </c>
    </row>
    <row r="715" spans="1:4">
      <c r="A715" s="107">
        <v>1</v>
      </c>
      <c r="B715" s="1324"/>
      <c r="C715" t="s">
        <v>1253</v>
      </c>
      <c r="D715" s="113">
        <v>0</v>
      </c>
    </row>
    <row r="716" spans="1:4">
      <c r="A716" s="107">
        <v>1</v>
      </c>
      <c r="B716" s="1325"/>
      <c r="C716" t="s">
        <v>421</v>
      </c>
      <c r="D716" s="113">
        <v>0</v>
      </c>
    </row>
    <row r="717" spans="1:4">
      <c r="A717" s="107">
        <v>1</v>
      </c>
      <c r="B717" s="1323" t="s">
        <v>842</v>
      </c>
      <c r="C717" t="s">
        <v>444</v>
      </c>
      <c r="D717" s="113">
        <v>102719</v>
      </c>
    </row>
    <row r="718" spans="1:4">
      <c r="A718" s="107">
        <v>1</v>
      </c>
      <c r="B718" s="1324"/>
      <c r="C718" t="s">
        <v>445</v>
      </c>
      <c r="D718" s="113">
        <v>0</v>
      </c>
    </row>
    <row r="719" spans="1:4">
      <c r="A719" s="107">
        <v>1</v>
      </c>
      <c r="B719" s="1324"/>
      <c r="C719" t="s">
        <v>446</v>
      </c>
      <c r="D719" s="113">
        <v>0</v>
      </c>
    </row>
    <row r="720" spans="1:4">
      <c r="A720" s="107">
        <v>1</v>
      </c>
      <c r="B720" s="1324"/>
      <c r="C720" t="s">
        <v>1253</v>
      </c>
      <c r="D720" s="113">
        <v>0</v>
      </c>
    </row>
    <row r="721" spans="1:4">
      <c r="A721" s="107">
        <v>1</v>
      </c>
      <c r="B721" s="1325"/>
      <c r="C721" t="s">
        <v>421</v>
      </c>
      <c r="D721" s="113">
        <v>0</v>
      </c>
    </row>
    <row r="722" spans="1:4">
      <c r="A722" s="107">
        <v>1</v>
      </c>
      <c r="B722" s="1323" t="s">
        <v>843</v>
      </c>
      <c r="C722" t="s">
        <v>444</v>
      </c>
      <c r="D722" s="113">
        <v>97602</v>
      </c>
    </row>
    <row r="723" spans="1:4">
      <c r="A723" s="107">
        <v>1</v>
      </c>
      <c r="B723" s="1324"/>
      <c r="C723" t="s">
        <v>445</v>
      </c>
      <c r="D723" s="113">
        <v>532921</v>
      </c>
    </row>
    <row r="724" spans="1:4">
      <c r="A724" s="107">
        <v>1</v>
      </c>
      <c r="B724" s="1324"/>
      <c r="C724" t="s">
        <v>446</v>
      </c>
      <c r="D724" s="113">
        <v>0</v>
      </c>
    </row>
    <row r="725" spans="1:4">
      <c r="A725" s="107">
        <v>1</v>
      </c>
      <c r="B725" s="1324"/>
      <c r="C725" t="s">
        <v>1253</v>
      </c>
      <c r="D725" s="113">
        <v>0</v>
      </c>
    </row>
    <row r="726" spans="1:4">
      <c r="A726" s="107">
        <v>1</v>
      </c>
      <c r="B726" s="1324"/>
      <c r="C726" t="s">
        <v>421</v>
      </c>
      <c r="D726" s="113">
        <v>0</v>
      </c>
    </row>
    <row r="727" spans="1:4">
      <c r="A727" s="107">
        <v>14</v>
      </c>
      <c r="B727" s="1323" t="s">
        <v>844</v>
      </c>
      <c r="C727" t="s">
        <v>444</v>
      </c>
      <c r="D727" s="113">
        <v>49441.4</v>
      </c>
    </row>
    <row r="728" spans="1:4">
      <c r="A728" s="107">
        <v>14</v>
      </c>
      <c r="B728" s="1324"/>
      <c r="C728" t="s">
        <v>445</v>
      </c>
      <c r="D728" s="113">
        <v>0</v>
      </c>
    </row>
    <row r="729" spans="1:4">
      <c r="A729" s="107">
        <v>14</v>
      </c>
      <c r="B729" s="1324"/>
      <c r="C729" t="s">
        <v>446</v>
      </c>
      <c r="D729" s="113">
        <v>46868.2</v>
      </c>
    </row>
    <row r="730" spans="1:4">
      <c r="A730" s="107">
        <v>14</v>
      </c>
      <c r="B730" s="1324"/>
      <c r="C730" t="s">
        <v>1253</v>
      </c>
      <c r="D730" s="113">
        <v>0</v>
      </c>
    </row>
    <row r="731" spans="1:4">
      <c r="A731" s="107">
        <v>14</v>
      </c>
      <c r="B731" s="1324"/>
      <c r="C731" t="s">
        <v>421</v>
      </c>
      <c r="D731" s="113">
        <v>9963.2999999999993</v>
      </c>
    </row>
    <row r="732" spans="1:4">
      <c r="A732" s="107">
        <v>7</v>
      </c>
      <c r="B732" s="1323" t="s">
        <v>845</v>
      </c>
      <c r="C732" t="s">
        <v>444</v>
      </c>
      <c r="D732" s="113">
        <v>11866.7</v>
      </c>
    </row>
    <row r="733" spans="1:4">
      <c r="A733" s="107">
        <v>7</v>
      </c>
      <c r="B733" s="1324"/>
      <c r="C733" t="s">
        <v>445</v>
      </c>
      <c r="D733" s="113">
        <v>0</v>
      </c>
    </row>
    <row r="734" spans="1:4">
      <c r="A734" s="107">
        <v>7</v>
      </c>
      <c r="B734" s="1324"/>
      <c r="C734" t="s">
        <v>446</v>
      </c>
      <c r="D734" s="113">
        <v>15612.7</v>
      </c>
    </row>
    <row r="735" spans="1:4">
      <c r="A735" s="107">
        <v>7</v>
      </c>
      <c r="B735" s="1324"/>
      <c r="C735" t="s">
        <v>1253</v>
      </c>
      <c r="D735" s="113">
        <v>0</v>
      </c>
    </row>
    <row r="736" spans="1:4">
      <c r="A736" s="107">
        <v>7</v>
      </c>
      <c r="B736" s="1324"/>
      <c r="C736" t="s">
        <v>421</v>
      </c>
      <c r="D736" s="113">
        <v>0</v>
      </c>
    </row>
    <row r="737" spans="1:4">
      <c r="A737" s="107">
        <v>14</v>
      </c>
      <c r="B737" s="1323" t="s">
        <v>846</v>
      </c>
      <c r="C737" t="s">
        <v>444</v>
      </c>
      <c r="D737" s="113">
        <v>6607.9</v>
      </c>
    </row>
    <row r="738" spans="1:4">
      <c r="A738" s="107">
        <v>14</v>
      </c>
      <c r="B738" s="1324"/>
      <c r="C738" t="s">
        <v>445</v>
      </c>
      <c r="D738" s="113">
        <v>6886.4</v>
      </c>
    </row>
    <row r="739" spans="1:4">
      <c r="A739" s="107">
        <v>14</v>
      </c>
      <c r="B739" s="1324"/>
      <c r="C739" t="s">
        <v>446</v>
      </c>
      <c r="D739" s="113">
        <v>0</v>
      </c>
    </row>
    <row r="740" spans="1:4">
      <c r="A740" s="107">
        <v>14</v>
      </c>
      <c r="B740" s="1324"/>
      <c r="C740" t="s">
        <v>1253</v>
      </c>
      <c r="D740" s="113">
        <v>0</v>
      </c>
    </row>
    <row r="741" spans="1:4">
      <c r="A741" s="107">
        <v>14</v>
      </c>
      <c r="B741" s="1324"/>
      <c r="C741" t="s">
        <v>421</v>
      </c>
      <c r="D741" s="113">
        <v>0</v>
      </c>
    </row>
    <row r="742" spans="1:4">
      <c r="A742" s="107">
        <v>10</v>
      </c>
      <c r="B742" s="1323" t="s">
        <v>847</v>
      </c>
      <c r="C742" t="s">
        <v>444</v>
      </c>
      <c r="D742" s="113">
        <v>9179.5</v>
      </c>
    </row>
    <row r="743" spans="1:4">
      <c r="A743" s="107">
        <v>10</v>
      </c>
      <c r="B743" s="1324"/>
      <c r="C743" t="s">
        <v>445</v>
      </c>
      <c r="D743" s="113">
        <v>0</v>
      </c>
    </row>
    <row r="744" spans="1:4">
      <c r="A744" s="107">
        <v>10</v>
      </c>
      <c r="B744" s="1324"/>
      <c r="C744" t="s">
        <v>446</v>
      </c>
      <c r="D744" s="113">
        <v>0</v>
      </c>
    </row>
    <row r="745" spans="1:4">
      <c r="A745" s="107">
        <v>10</v>
      </c>
      <c r="B745" s="1324"/>
      <c r="C745" t="s">
        <v>1253</v>
      </c>
      <c r="D745" s="113">
        <v>0</v>
      </c>
    </row>
    <row r="746" spans="1:4">
      <c r="A746" s="107">
        <v>10</v>
      </c>
      <c r="B746" s="1325"/>
      <c r="C746" t="s">
        <v>421</v>
      </c>
      <c r="D746" s="113">
        <v>0</v>
      </c>
    </row>
    <row r="747" spans="1:4">
      <c r="A747" s="107">
        <v>1</v>
      </c>
      <c r="B747" s="1323" t="s">
        <v>848</v>
      </c>
      <c r="C747" t="s">
        <v>444</v>
      </c>
      <c r="D747" s="113">
        <v>0</v>
      </c>
    </row>
    <row r="748" spans="1:4">
      <c r="A748" s="107">
        <v>1</v>
      </c>
      <c r="B748" s="1324"/>
      <c r="C748" t="s">
        <v>445</v>
      </c>
      <c r="D748" s="113">
        <v>199070.8</v>
      </c>
    </row>
    <row r="749" spans="1:4">
      <c r="A749" s="107">
        <v>1</v>
      </c>
      <c r="B749" s="1324"/>
      <c r="C749" t="s">
        <v>446</v>
      </c>
      <c r="D749" s="113">
        <v>0</v>
      </c>
    </row>
    <row r="750" spans="1:4">
      <c r="A750" s="107">
        <v>1</v>
      </c>
      <c r="B750" s="1324"/>
      <c r="C750" t="s">
        <v>1253</v>
      </c>
      <c r="D750" s="113">
        <v>0</v>
      </c>
    </row>
    <row r="751" spans="1:4">
      <c r="A751" s="107">
        <v>1</v>
      </c>
      <c r="B751" s="1325"/>
      <c r="C751" t="s">
        <v>421</v>
      </c>
      <c r="D751" s="113">
        <v>0</v>
      </c>
    </row>
    <row r="752" spans="1:4">
      <c r="A752" s="107">
        <v>1</v>
      </c>
      <c r="B752" s="1323" t="s">
        <v>849</v>
      </c>
      <c r="C752" t="s">
        <v>444</v>
      </c>
      <c r="D752" s="113">
        <v>0</v>
      </c>
    </row>
    <row r="753" spans="1:4">
      <c r="A753" s="107">
        <v>1</v>
      </c>
      <c r="B753" s="1324"/>
      <c r="C753" t="s">
        <v>445</v>
      </c>
      <c r="D753" s="113">
        <v>0</v>
      </c>
    </row>
    <row r="754" spans="1:4">
      <c r="A754" s="107">
        <v>1</v>
      </c>
      <c r="B754" s="1324"/>
      <c r="C754" t="s">
        <v>446</v>
      </c>
      <c r="D754" s="113">
        <v>3867.6</v>
      </c>
    </row>
    <row r="755" spans="1:4">
      <c r="A755" s="107">
        <v>1</v>
      </c>
      <c r="B755" s="1324"/>
      <c r="C755" t="s">
        <v>1253</v>
      </c>
      <c r="D755" s="113">
        <v>0</v>
      </c>
    </row>
    <row r="756" spans="1:4">
      <c r="A756" s="107">
        <v>1</v>
      </c>
      <c r="B756" s="1324"/>
      <c r="C756" t="s">
        <v>421</v>
      </c>
      <c r="D756" s="113">
        <v>0</v>
      </c>
    </row>
    <row r="757" spans="1:4">
      <c r="A757" s="107">
        <v>1</v>
      </c>
      <c r="B757" s="1323" t="s">
        <v>850</v>
      </c>
      <c r="C757" t="s">
        <v>444</v>
      </c>
      <c r="D757" s="113">
        <v>9137.6</v>
      </c>
    </row>
    <row r="758" spans="1:4">
      <c r="A758" s="107">
        <v>1</v>
      </c>
      <c r="B758" s="1324"/>
      <c r="C758" t="s">
        <v>445</v>
      </c>
      <c r="D758" s="113">
        <v>0</v>
      </c>
    </row>
    <row r="759" spans="1:4">
      <c r="A759" s="107">
        <v>1</v>
      </c>
      <c r="B759" s="1324"/>
      <c r="C759" t="s">
        <v>446</v>
      </c>
      <c r="D759" s="113">
        <v>11318.6</v>
      </c>
    </row>
    <row r="760" spans="1:4">
      <c r="A760" s="107">
        <v>1</v>
      </c>
      <c r="B760" s="1324"/>
      <c r="C760" t="s">
        <v>1253</v>
      </c>
      <c r="D760" s="113">
        <v>0</v>
      </c>
    </row>
    <row r="761" spans="1:4">
      <c r="A761" s="107">
        <v>1</v>
      </c>
      <c r="B761" s="1324"/>
      <c r="C761" t="s">
        <v>421</v>
      </c>
      <c r="D761" s="113">
        <v>0</v>
      </c>
    </row>
    <row r="762" spans="1:4">
      <c r="A762" s="107">
        <v>2</v>
      </c>
      <c r="B762" s="1323" t="s">
        <v>851</v>
      </c>
      <c r="C762" t="s">
        <v>444</v>
      </c>
      <c r="D762" s="113">
        <v>0</v>
      </c>
    </row>
    <row r="763" spans="1:4">
      <c r="A763" s="107">
        <v>2</v>
      </c>
      <c r="B763" s="1324"/>
      <c r="C763" t="s">
        <v>445</v>
      </c>
      <c r="D763" s="113">
        <v>0</v>
      </c>
    </row>
    <row r="764" spans="1:4">
      <c r="A764" s="107">
        <v>2</v>
      </c>
      <c r="B764" s="1324"/>
      <c r="C764" t="s">
        <v>446</v>
      </c>
      <c r="D764" s="113">
        <v>65525</v>
      </c>
    </row>
    <row r="765" spans="1:4">
      <c r="A765" s="107">
        <v>2</v>
      </c>
      <c r="B765" s="1324"/>
      <c r="C765" t="s">
        <v>1253</v>
      </c>
      <c r="D765" s="113">
        <v>0</v>
      </c>
    </row>
    <row r="766" spans="1:4">
      <c r="A766" s="107">
        <v>2</v>
      </c>
      <c r="B766" s="1324"/>
      <c r="C766" t="s">
        <v>421</v>
      </c>
      <c r="D766" s="113">
        <v>0</v>
      </c>
    </row>
    <row r="767" spans="1:4">
      <c r="A767" s="107">
        <v>2</v>
      </c>
      <c r="B767" s="1323" t="s">
        <v>852</v>
      </c>
      <c r="C767" t="s">
        <v>444</v>
      </c>
      <c r="D767" s="113">
        <v>0</v>
      </c>
    </row>
    <row r="768" spans="1:4">
      <c r="A768" s="107">
        <v>2</v>
      </c>
      <c r="B768" s="1324"/>
      <c r="C768" t="s">
        <v>445</v>
      </c>
      <c r="D768" s="113">
        <v>0</v>
      </c>
    </row>
    <row r="769" spans="1:4">
      <c r="A769" s="107">
        <v>2</v>
      </c>
      <c r="B769" s="1324"/>
      <c r="C769" t="s">
        <v>446</v>
      </c>
      <c r="D769" s="113">
        <v>119046.2</v>
      </c>
    </row>
    <row r="770" spans="1:4">
      <c r="A770" s="107">
        <v>2</v>
      </c>
      <c r="B770" s="1324"/>
      <c r="C770" t="s">
        <v>1253</v>
      </c>
      <c r="D770" s="113">
        <v>0</v>
      </c>
    </row>
    <row r="771" spans="1:4">
      <c r="A771" s="107">
        <v>2</v>
      </c>
      <c r="B771" s="1324"/>
      <c r="C771" t="s">
        <v>421</v>
      </c>
      <c r="D771" s="113">
        <v>0</v>
      </c>
    </row>
    <row r="772" spans="1:4">
      <c r="A772" s="107">
        <v>1</v>
      </c>
      <c r="B772" s="1323" t="s">
        <v>853</v>
      </c>
      <c r="C772" t="s">
        <v>444</v>
      </c>
      <c r="D772" s="113">
        <v>23735.1</v>
      </c>
    </row>
    <row r="773" spans="1:4">
      <c r="A773" s="107">
        <v>1</v>
      </c>
      <c r="B773" s="1324"/>
      <c r="C773" t="s">
        <v>445</v>
      </c>
      <c r="D773" s="113">
        <v>0</v>
      </c>
    </row>
    <row r="774" spans="1:4">
      <c r="A774" s="107">
        <v>1</v>
      </c>
      <c r="B774" s="1324"/>
      <c r="C774" t="s">
        <v>446</v>
      </c>
      <c r="D774" s="113">
        <v>0</v>
      </c>
    </row>
    <row r="775" spans="1:4">
      <c r="A775" s="107">
        <v>1</v>
      </c>
      <c r="B775" s="1324"/>
      <c r="C775" t="s">
        <v>1253</v>
      </c>
      <c r="D775" s="113">
        <v>0</v>
      </c>
    </row>
    <row r="776" spans="1:4">
      <c r="A776" s="107">
        <v>1</v>
      </c>
      <c r="B776" s="1325"/>
      <c r="C776" t="s">
        <v>421</v>
      </c>
      <c r="D776" s="113">
        <v>0</v>
      </c>
    </row>
    <row r="777" spans="1:4">
      <c r="A777" s="107">
        <v>2</v>
      </c>
      <c r="B777" s="1323" t="s">
        <v>854</v>
      </c>
      <c r="C777" t="s">
        <v>444</v>
      </c>
      <c r="D777" s="113">
        <v>0</v>
      </c>
    </row>
    <row r="778" spans="1:4">
      <c r="A778" s="107">
        <v>2</v>
      </c>
      <c r="B778" s="1324"/>
      <c r="C778" t="s">
        <v>445</v>
      </c>
      <c r="D778" s="113">
        <v>0</v>
      </c>
    </row>
    <row r="779" spans="1:4">
      <c r="A779" s="107">
        <v>2</v>
      </c>
      <c r="B779" s="1324"/>
      <c r="C779" t="s">
        <v>446</v>
      </c>
      <c r="D779" s="113">
        <v>17357.8</v>
      </c>
    </row>
    <row r="780" spans="1:4">
      <c r="A780" s="107">
        <v>2</v>
      </c>
      <c r="B780" s="1324"/>
      <c r="C780" t="s">
        <v>1253</v>
      </c>
      <c r="D780" s="113">
        <v>0</v>
      </c>
    </row>
    <row r="781" spans="1:4">
      <c r="A781" s="107">
        <v>2</v>
      </c>
      <c r="B781" s="1324"/>
      <c r="C781" t="s">
        <v>421</v>
      </c>
      <c r="D781" s="113">
        <v>0</v>
      </c>
    </row>
    <row r="782" spans="1:4">
      <c r="A782" s="107">
        <v>1</v>
      </c>
      <c r="B782" s="1323" t="s">
        <v>855</v>
      </c>
      <c r="C782" t="s">
        <v>444</v>
      </c>
      <c r="D782" s="113">
        <v>0</v>
      </c>
    </row>
    <row r="783" spans="1:4">
      <c r="A783" s="107">
        <v>1</v>
      </c>
      <c r="B783" s="1324"/>
      <c r="C783" t="s">
        <v>445</v>
      </c>
      <c r="D783" s="113">
        <v>0</v>
      </c>
    </row>
    <row r="784" spans="1:4">
      <c r="A784" s="107">
        <v>1</v>
      </c>
      <c r="B784" s="1324"/>
      <c r="C784" t="s">
        <v>446</v>
      </c>
      <c r="D784" s="113">
        <v>4929.1000000000004</v>
      </c>
    </row>
    <row r="785" spans="1:4">
      <c r="A785" s="107">
        <v>1</v>
      </c>
      <c r="B785" s="1324"/>
      <c r="C785" t="s">
        <v>1253</v>
      </c>
      <c r="D785" s="113">
        <v>0</v>
      </c>
    </row>
    <row r="786" spans="1:4">
      <c r="A786" s="107">
        <v>1</v>
      </c>
      <c r="B786" s="1324"/>
      <c r="C786" t="s">
        <v>421</v>
      </c>
      <c r="D786" s="113">
        <v>0</v>
      </c>
    </row>
    <row r="787" spans="1:4">
      <c r="A787" s="107">
        <v>1</v>
      </c>
      <c r="B787" s="1323" t="s">
        <v>856</v>
      </c>
      <c r="C787" t="s">
        <v>444</v>
      </c>
      <c r="D787" s="113">
        <v>7591.4</v>
      </c>
    </row>
    <row r="788" spans="1:4">
      <c r="A788" s="107">
        <v>1</v>
      </c>
      <c r="B788" s="1324"/>
      <c r="C788" t="s">
        <v>445</v>
      </c>
      <c r="D788" s="113">
        <v>62528.6</v>
      </c>
    </row>
    <row r="789" spans="1:4">
      <c r="A789" s="107">
        <v>1</v>
      </c>
      <c r="B789" s="1324"/>
      <c r="C789" t="s">
        <v>446</v>
      </c>
      <c r="D789" s="113">
        <v>0</v>
      </c>
    </row>
    <row r="790" spans="1:4">
      <c r="A790" s="107">
        <v>1</v>
      </c>
      <c r="B790" s="1324"/>
      <c r="C790" t="s">
        <v>1253</v>
      </c>
      <c r="D790" s="113">
        <v>0</v>
      </c>
    </row>
    <row r="791" spans="1:4">
      <c r="A791" s="107">
        <v>1</v>
      </c>
      <c r="B791" s="1324"/>
      <c r="C791" t="s">
        <v>421</v>
      </c>
      <c r="D791" s="113">
        <v>0</v>
      </c>
    </row>
    <row r="792" spans="1:4">
      <c r="A792" s="107">
        <v>10</v>
      </c>
      <c r="B792" s="1323" t="s">
        <v>857</v>
      </c>
      <c r="C792" t="s">
        <v>444</v>
      </c>
      <c r="D792" s="113">
        <v>8987.7000000000007</v>
      </c>
    </row>
    <row r="793" spans="1:4">
      <c r="A793" s="107">
        <v>10</v>
      </c>
      <c r="B793" s="1324"/>
      <c r="C793" t="s">
        <v>445</v>
      </c>
      <c r="D793" s="113">
        <v>0</v>
      </c>
    </row>
    <row r="794" spans="1:4">
      <c r="A794" s="107">
        <v>10</v>
      </c>
      <c r="B794" s="1324"/>
      <c r="C794" t="s">
        <v>446</v>
      </c>
      <c r="D794" s="113">
        <v>335647.8</v>
      </c>
    </row>
    <row r="795" spans="1:4">
      <c r="A795" s="107">
        <v>10</v>
      </c>
      <c r="B795" s="1324"/>
      <c r="C795" t="s">
        <v>1253</v>
      </c>
      <c r="D795" s="113">
        <v>0</v>
      </c>
    </row>
    <row r="796" spans="1:4">
      <c r="A796" s="107">
        <v>10</v>
      </c>
      <c r="B796" s="1324"/>
      <c r="C796" t="s">
        <v>421</v>
      </c>
      <c r="D796" s="113">
        <v>0</v>
      </c>
    </row>
    <row r="797" spans="1:4">
      <c r="A797" s="107">
        <v>1</v>
      </c>
      <c r="B797" s="1324" t="s">
        <v>1531</v>
      </c>
      <c r="C797" t="s">
        <v>444</v>
      </c>
      <c r="D797" s="113">
        <v>9295</v>
      </c>
    </row>
    <row r="798" spans="1:4">
      <c r="A798" s="107">
        <v>1</v>
      </c>
      <c r="B798" s="1324"/>
      <c r="C798" t="s">
        <v>445</v>
      </c>
      <c r="D798" s="113">
        <v>0</v>
      </c>
    </row>
    <row r="799" spans="1:4">
      <c r="A799" s="107">
        <v>1</v>
      </c>
      <c r="B799" s="1324"/>
      <c r="C799" t="s">
        <v>446</v>
      </c>
      <c r="D799" s="113">
        <v>0</v>
      </c>
    </row>
    <row r="800" spans="1:4">
      <c r="A800" s="107">
        <v>1</v>
      </c>
      <c r="B800" s="1324"/>
      <c r="C800" t="s">
        <v>1253</v>
      </c>
      <c r="D800" s="113">
        <v>0</v>
      </c>
    </row>
    <row r="801" spans="1:4">
      <c r="A801" s="107">
        <v>1</v>
      </c>
      <c r="B801" s="1325"/>
      <c r="C801" t="s">
        <v>421</v>
      </c>
      <c r="D801" s="113">
        <v>0</v>
      </c>
    </row>
    <row r="802" spans="1:4">
      <c r="A802" s="107">
        <v>2</v>
      </c>
      <c r="B802" s="1323" t="s">
        <v>858</v>
      </c>
      <c r="C802" t="s">
        <v>444</v>
      </c>
      <c r="D802" s="113">
        <v>0</v>
      </c>
    </row>
    <row r="803" spans="1:4">
      <c r="A803" s="107">
        <v>2</v>
      </c>
      <c r="B803" s="1324"/>
      <c r="C803" t="s">
        <v>445</v>
      </c>
      <c r="D803" s="113">
        <v>0</v>
      </c>
    </row>
    <row r="804" spans="1:4">
      <c r="A804" s="107">
        <v>3</v>
      </c>
      <c r="B804" s="1324"/>
      <c r="C804" t="s">
        <v>446</v>
      </c>
      <c r="D804" s="113">
        <v>34841.300000000003</v>
      </c>
    </row>
    <row r="805" spans="1:4">
      <c r="A805" s="107">
        <v>3</v>
      </c>
      <c r="B805" s="1324"/>
      <c r="C805" t="s">
        <v>1253</v>
      </c>
      <c r="D805" s="113">
        <v>0</v>
      </c>
    </row>
    <row r="806" spans="1:4">
      <c r="A806" s="107">
        <v>3</v>
      </c>
      <c r="B806" s="1324"/>
      <c r="C806" t="s">
        <v>421</v>
      </c>
      <c r="D806" s="113">
        <v>0</v>
      </c>
    </row>
    <row r="807" spans="1:4">
      <c r="A807" s="107">
        <v>2</v>
      </c>
      <c r="B807" s="1323" t="s">
        <v>859</v>
      </c>
      <c r="C807" t="s">
        <v>444</v>
      </c>
      <c r="D807" s="113">
        <v>0</v>
      </c>
    </row>
    <row r="808" spans="1:4">
      <c r="A808" s="107">
        <v>2</v>
      </c>
      <c r="B808" s="1324"/>
      <c r="C808" t="s">
        <v>445</v>
      </c>
      <c r="D808" s="113">
        <v>0</v>
      </c>
    </row>
    <row r="809" spans="1:4">
      <c r="A809" s="107">
        <v>2</v>
      </c>
      <c r="B809" s="1324"/>
      <c r="C809" t="s">
        <v>446</v>
      </c>
      <c r="D809" s="113">
        <v>17791.3</v>
      </c>
    </row>
    <row r="810" spans="1:4">
      <c r="A810" s="107">
        <v>2</v>
      </c>
      <c r="B810" s="1324"/>
      <c r="C810" t="s">
        <v>1253</v>
      </c>
      <c r="D810" s="113">
        <v>0</v>
      </c>
    </row>
    <row r="811" spans="1:4">
      <c r="A811" s="107">
        <v>2</v>
      </c>
      <c r="B811" s="1324"/>
      <c r="C811" t="s">
        <v>421</v>
      </c>
      <c r="D811" s="113">
        <v>0</v>
      </c>
    </row>
    <row r="812" spans="1:4">
      <c r="A812" s="107">
        <v>10</v>
      </c>
      <c r="B812" s="1323" t="s">
        <v>860</v>
      </c>
      <c r="C812" t="s">
        <v>444</v>
      </c>
      <c r="D812" s="113">
        <v>0</v>
      </c>
    </row>
    <row r="813" spans="1:4">
      <c r="A813" s="107">
        <v>10</v>
      </c>
      <c r="B813" s="1324"/>
      <c r="C813" t="s">
        <v>445</v>
      </c>
      <c r="D813" s="113">
        <v>0</v>
      </c>
    </row>
    <row r="814" spans="1:4">
      <c r="A814" s="107">
        <v>10</v>
      </c>
      <c r="B814" s="1324"/>
      <c r="C814" t="s">
        <v>446</v>
      </c>
      <c r="D814" s="113">
        <v>197901</v>
      </c>
    </row>
    <row r="815" spans="1:4">
      <c r="A815" s="107">
        <v>10</v>
      </c>
      <c r="B815" s="1324"/>
      <c r="C815" t="s">
        <v>1253</v>
      </c>
      <c r="D815" s="113">
        <v>0</v>
      </c>
    </row>
    <row r="816" spans="1:4">
      <c r="A816" s="107">
        <v>10</v>
      </c>
      <c r="B816" s="1324"/>
      <c r="C816" t="s">
        <v>421</v>
      </c>
      <c r="D816" s="113">
        <v>0</v>
      </c>
    </row>
    <row r="817" spans="1:4">
      <c r="A817" s="107">
        <v>2</v>
      </c>
      <c r="B817" s="1323" t="s">
        <v>861</v>
      </c>
      <c r="C817" t="s">
        <v>444</v>
      </c>
      <c r="D817" s="113">
        <v>7006.5</v>
      </c>
    </row>
    <row r="818" spans="1:4">
      <c r="A818" s="107">
        <v>2</v>
      </c>
      <c r="B818" s="1324"/>
      <c r="C818" t="s">
        <v>445</v>
      </c>
      <c r="D818" s="113">
        <v>0</v>
      </c>
    </row>
    <row r="819" spans="1:4">
      <c r="A819" s="107">
        <v>2</v>
      </c>
      <c r="B819" s="1324"/>
      <c r="C819" t="s">
        <v>446</v>
      </c>
      <c r="D819" s="113">
        <v>448095.4</v>
      </c>
    </row>
    <row r="820" spans="1:4">
      <c r="A820" s="107">
        <v>2</v>
      </c>
      <c r="B820" s="1324"/>
      <c r="C820" t="s">
        <v>1253</v>
      </c>
      <c r="D820" s="113">
        <v>0</v>
      </c>
    </row>
    <row r="821" spans="1:4">
      <c r="A821" s="107">
        <v>2</v>
      </c>
      <c r="B821" s="1325"/>
      <c r="C821" t="s">
        <v>421</v>
      </c>
      <c r="D821" s="113">
        <v>0</v>
      </c>
    </row>
    <row r="822" spans="1:4">
      <c r="A822" s="107">
        <v>2</v>
      </c>
      <c r="B822" s="1323" t="s">
        <v>862</v>
      </c>
      <c r="C822" t="s">
        <v>444</v>
      </c>
      <c r="D822" s="113">
        <v>0</v>
      </c>
    </row>
    <row r="823" spans="1:4">
      <c r="A823" s="107">
        <v>2</v>
      </c>
      <c r="B823" s="1324"/>
      <c r="C823" t="s">
        <v>445</v>
      </c>
      <c r="D823" s="113">
        <v>0</v>
      </c>
    </row>
    <row r="824" spans="1:4">
      <c r="A824" s="107">
        <v>2</v>
      </c>
      <c r="B824" s="1324"/>
      <c r="C824" t="s">
        <v>446</v>
      </c>
      <c r="D824" s="113">
        <v>203548.9</v>
      </c>
    </row>
    <row r="825" spans="1:4">
      <c r="A825" s="107">
        <v>2</v>
      </c>
      <c r="B825" s="1324"/>
      <c r="C825" t="s">
        <v>1253</v>
      </c>
      <c r="D825" s="113">
        <v>0</v>
      </c>
    </row>
    <row r="826" spans="1:4">
      <c r="A826" s="107">
        <v>2</v>
      </c>
      <c r="B826" s="1324"/>
      <c r="C826" t="s">
        <v>421</v>
      </c>
      <c r="D826" s="113">
        <v>0</v>
      </c>
    </row>
    <row r="827" spans="1:4">
      <c r="A827" s="107">
        <v>2</v>
      </c>
      <c r="B827" s="1323" t="s">
        <v>863</v>
      </c>
      <c r="C827" t="s">
        <v>444</v>
      </c>
      <c r="D827" s="113">
        <v>0</v>
      </c>
    </row>
    <row r="828" spans="1:4">
      <c r="A828" s="107">
        <v>2</v>
      </c>
      <c r="B828" s="1324"/>
      <c r="C828" t="s">
        <v>445</v>
      </c>
      <c r="D828" s="113">
        <v>0</v>
      </c>
    </row>
    <row r="829" spans="1:4">
      <c r="A829" s="107">
        <v>2</v>
      </c>
      <c r="B829" s="1324"/>
      <c r="C829" t="s">
        <v>446</v>
      </c>
      <c r="D829" s="113">
        <v>166532.6</v>
      </c>
    </row>
    <row r="830" spans="1:4">
      <c r="A830" s="107">
        <v>2</v>
      </c>
      <c r="B830" s="1324"/>
      <c r="C830" t="s">
        <v>1253</v>
      </c>
      <c r="D830" s="113">
        <v>0</v>
      </c>
    </row>
    <row r="831" spans="1:4">
      <c r="A831" s="107">
        <v>2</v>
      </c>
      <c r="B831" s="1324"/>
      <c r="C831" t="s">
        <v>421</v>
      </c>
      <c r="D831" s="113">
        <v>0</v>
      </c>
    </row>
    <row r="832" spans="1:4">
      <c r="A832" s="107">
        <v>1</v>
      </c>
      <c r="B832" s="1323" t="s">
        <v>1532</v>
      </c>
      <c r="C832" t="s">
        <v>444</v>
      </c>
      <c r="D832" s="113">
        <v>0</v>
      </c>
    </row>
    <row r="833" spans="1:4">
      <c r="A833" s="107">
        <v>1</v>
      </c>
      <c r="B833" s="1324"/>
      <c r="C833" t="s">
        <v>445</v>
      </c>
      <c r="D833" s="113">
        <v>0</v>
      </c>
    </row>
    <row r="834" spans="1:4">
      <c r="A834" s="107">
        <v>1</v>
      </c>
      <c r="B834" s="1324"/>
      <c r="C834" t="s">
        <v>446</v>
      </c>
      <c r="D834" s="113">
        <v>2713.6</v>
      </c>
    </row>
    <row r="835" spans="1:4">
      <c r="A835" s="107">
        <v>1</v>
      </c>
      <c r="B835" s="1324"/>
      <c r="C835" t="s">
        <v>1253</v>
      </c>
      <c r="D835" s="113">
        <v>0</v>
      </c>
    </row>
    <row r="836" spans="1:4">
      <c r="A836" s="107">
        <v>1</v>
      </c>
      <c r="B836" s="1324"/>
      <c r="C836" t="s">
        <v>421</v>
      </c>
      <c r="D836" s="113">
        <v>0</v>
      </c>
    </row>
    <row r="837" spans="1:4">
      <c r="A837" s="107">
        <v>9</v>
      </c>
      <c r="B837" s="1324" t="s">
        <v>1533</v>
      </c>
      <c r="C837" t="s">
        <v>444</v>
      </c>
      <c r="D837" s="113">
        <v>0</v>
      </c>
    </row>
    <row r="838" spans="1:4">
      <c r="A838" s="107">
        <v>9</v>
      </c>
      <c r="B838" s="1324"/>
      <c r="C838" t="s">
        <v>445</v>
      </c>
      <c r="D838" s="113">
        <v>0</v>
      </c>
    </row>
    <row r="839" spans="1:4">
      <c r="A839" s="107">
        <v>9</v>
      </c>
      <c r="B839" s="1324"/>
      <c r="C839" t="s">
        <v>446</v>
      </c>
      <c r="D839" s="113">
        <v>19673</v>
      </c>
    </row>
    <row r="840" spans="1:4">
      <c r="A840" s="107">
        <v>9</v>
      </c>
      <c r="B840" s="1324"/>
      <c r="C840" t="s">
        <v>1253</v>
      </c>
      <c r="D840" s="113">
        <v>0</v>
      </c>
    </row>
    <row r="841" spans="1:4">
      <c r="A841" s="107">
        <v>9</v>
      </c>
      <c r="B841" s="1324"/>
      <c r="C841" t="s">
        <v>421</v>
      </c>
      <c r="D841" s="113">
        <v>0</v>
      </c>
    </row>
    <row r="842" spans="1:4">
      <c r="A842" s="107">
        <v>2</v>
      </c>
      <c r="B842" s="1324" t="s">
        <v>1534</v>
      </c>
      <c r="C842" t="s">
        <v>444</v>
      </c>
      <c r="D842" s="113">
        <v>0</v>
      </c>
    </row>
    <row r="843" spans="1:4">
      <c r="A843" s="107">
        <v>2</v>
      </c>
      <c r="B843" s="1324"/>
      <c r="C843" t="s">
        <v>445</v>
      </c>
      <c r="D843" s="113">
        <v>0</v>
      </c>
    </row>
    <row r="844" spans="1:4">
      <c r="A844" s="107">
        <v>2</v>
      </c>
      <c r="B844" s="1324"/>
      <c r="C844" t="s">
        <v>446</v>
      </c>
      <c r="D844" s="113">
        <v>26949.200000000001</v>
      </c>
    </row>
    <row r="845" spans="1:4">
      <c r="A845" s="107">
        <v>2</v>
      </c>
      <c r="B845" s="1324"/>
      <c r="C845" t="s">
        <v>1253</v>
      </c>
      <c r="D845" s="113">
        <v>0</v>
      </c>
    </row>
    <row r="846" spans="1:4">
      <c r="A846" s="107">
        <v>2</v>
      </c>
      <c r="B846" s="1324"/>
      <c r="C846" t="s">
        <v>421</v>
      </c>
      <c r="D846" s="113">
        <v>0</v>
      </c>
    </row>
    <row r="847" spans="1:4">
      <c r="A847" s="107">
        <v>2</v>
      </c>
      <c r="B847" s="1324" t="s">
        <v>1535</v>
      </c>
      <c r="C847" t="s">
        <v>444</v>
      </c>
      <c r="D847" s="113">
        <v>0</v>
      </c>
    </row>
    <row r="848" spans="1:4">
      <c r="A848" s="107">
        <v>2</v>
      </c>
      <c r="B848" s="1324"/>
      <c r="C848" t="s">
        <v>445</v>
      </c>
      <c r="D848" s="113">
        <v>0</v>
      </c>
    </row>
    <row r="849" spans="1:4">
      <c r="A849" s="107">
        <v>2</v>
      </c>
      <c r="B849" s="1324"/>
      <c r="C849" t="s">
        <v>446</v>
      </c>
      <c r="D849" s="113">
        <v>47489.7</v>
      </c>
    </row>
    <row r="850" spans="1:4">
      <c r="A850" s="107">
        <v>2</v>
      </c>
      <c r="B850" s="1324"/>
      <c r="C850" t="s">
        <v>1253</v>
      </c>
      <c r="D850" s="113">
        <v>0</v>
      </c>
    </row>
    <row r="851" spans="1:4">
      <c r="A851" s="107">
        <v>2</v>
      </c>
      <c r="B851" s="1325"/>
      <c r="C851" t="s">
        <v>421</v>
      </c>
      <c r="D851" s="113">
        <v>0</v>
      </c>
    </row>
    <row r="852" spans="1:4">
      <c r="A852" s="107">
        <v>2</v>
      </c>
      <c r="B852" s="1323" t="s">
        <v>864</v>
      </c>
      <c r="C852" t="s">
        <v>444</v>
      </c>
      <c r="D852" s="224">
        <v>0</v>
      </c>
    </row>
    <row r="853" spans="1:4">
      <c r="A853" s="107">
        <v>2</v>
      </c>
      <c r="B853" s="1324"/>
      <c r="C853" t="s">
        <v>445</v>
      </c>
      <c r="D853" s="224">
        <v>0</v>
      </c>
    </row>
    <row r="854" spans="1:4">
      <c r="A854" s="107">
        <v>2</v>
      </c>
      <c r="B854" s="1324"/>
      <c r="C854" t="s">
        <v>446</v>
      </c>
      <c r="D854" s="224">
        <v>8912.2000000000007</v>
      </c>
    </row>
    <row r="855" spans="1:4">
      <c r="A855" s="107">
        <v>2</v>
      </c>
      <c r="B855" s="1324"/>
      <c r="C855" t="s">
        <v>1253</v>
      </c>
      <c r="D855" s="224">
        <v>0</v>
      </c>
    </row>
    <row r="856" spans="1:4">
      <c r="A856" s="107">
        <v>2</v>
      </c>
      <c r="B856" s="1324"/>
      <c r="C856" t="s">
        <v>421</v>
      </c>
      <c r="D856" s="224">
        <v>0</v>
      </c>
    </row>
    <row r="857" spans="1:4">
      <c r="A857" s="107">
        <v>8</v>
      </c>
      <c r="B857" s="1323" t="s">
        <v>865</v>
      </c>
      <c r="C857" t="s">
        <v>444</v>
      </c>
      <c r="D857" s="224">
        <v>837108.2</v>
      </c>
    </row>
    <row r="858" spans="1:4">
      <c r="A858" s="107">
        <v>8</v>
      </c>
      <c r="B858" s="1324"/>
      <c r="C858" t="s">
        <v>445</v>
      </c>
      <c r="D858" s="224">
        <v>1960868</v>
      </c>
    </row>
    <row r="859" spans="1:4">
      <c r="A859" s="107">
        <v>8</v>
      </c>
      <c r="B859" s="1324"/>
      <c r="C859" t="s">
        <v>446</v>
      </c>
      <c r="D859" s="224">
        <v>0</v>
      </c>
    </row>
    <row r="860" spans="1:4">
      <c r="A860" s="107">
        <v>8</v>
      </c>
      <c r="B860" s="1324"/>
      <c r="C860" t="s">
        <v>1253</v>
      </c>
      <c r="D860" s="224">
        <v>0</v>
      </c>
    </row>
    <row r="861" spans="1:4">
      <c r="A861" s="107">
        <v>8</v>
      </c>
      <c r="B861" s="1324"/>
      <c r="C861" t="s">
        <v>421</v>
      </c>
      <c r="D861" s="224">
        <v>0</v>
      </c>
    </row>
    <row r="862" spans="1:4">
      <c r="A862" s="107">
        <v>1</v>
      </c>
      <c r="B862" s="1323" t="s">
        <v>866</v>
      </c>
      <c r="C862" t="s">
        <v>444</v>
      </c>
      <c r="D862" s="224">
        <v>1596044.4</v>
      </c>
    </row>
    <row r="863" spans="1:4">
      <c r="A863" s="107">
        <v>1</v>
      </c>
      <c r="B863" s="1324"/>
      <c r="C863" t="s">
        <v>445</v>
      </c>
      <c r="D863" s="224">
        <v>952649</v>
      </c>
    </row>
    <row r="864" spans="1:4">
      <c r="A864" s="107">
        <v>1</v>
      </c>
      <c r="B864" s="1324"/>
      <c r="C864" t="s">
        <v>446</v>
      </c>
      <c r="D864" s="224">
        <v>122698.6</v>
      </c>
    </row>
    <row r="865" spans="1:4">
      <c r="A865" s="107">
        <v>1</v>
      </c>
      <c r="B865" s="1324"/>
      <c r="C865" t="s">
        <v>1253</v>
      </c>
      <c r="D865" s="224">
        <v>0</v>
      </c>
    </row>
    <row r="866" spans="1:4">
      <c r="A866" s="107">
        <v>1</v>
      </c>
      <c r="B866" s="1324"/>
      <c r="C866" t="s">
        <v>421</v>
      </c>
      <c r="D866" s="224">
        <v>0</v>
      </c>
    </row>
    <row r="867" spans="1:4">
      <c r="A867" s="107">
        <v>2</v>
      </c>
      <c r="B867" s="1323" t="s">
        <v>867</v>
      </c>
      <c r="C867" t="s">
        <v>444</v>
      </c>
      <c r="D867" s="224">
        <v>0</v>
      </c>
    </row>
    <row r="868" spans="1:4">
      <c r="A868" s="107">
        <v>2</v>
      </c>
      <c r="B868" s="1324"/>
      <c r="C868" t="s">
        <v>445</v>
      </c>
      <c r="D868" s="224">
        <v>0</v>
      </c>
    </row>
    <row r="869" spans="1:4">
      <c r="A869" s="107">
        <v>2</v>
      </c>
      <c r="B869" s="1324"/>
      <c r="C869" t="s">
        <v>446</v>
      </c>
      <c r="D869" s="224">
        <v>38130.6</v>
      </c>
    </row>
    <row r="870" spans="1:4">
      <c r="A870" s="107">
        <v>2</v>
      </c>
      <c r="B870" s="1324"/>
      <c r="C870" t="s">
        <v>1253</v>
      </c>
      <c r="D870" s="224">
        <v>0</v>
      </c>
    </row>
    <row r="871" spans="1:4">
      <c r="A871" s="107">
        <v>2</v>
      </c>
      <c r="B871" s="1324"/>
      <c r="C871" t="s">
        <v>421</v>
      </c>
      <c r="D871" s="224">
        <v>0</v>
      </c>
    </row>
    <row r="872" spans="1:4">
      <c r="A872" s="107">
        <v>1</v>
      </c>
      <c r="B872" s="1323" t="s">
        <v>868</v>
      </c>
      <c r="C872" t="s">
        <v>444</v>
      </c>
      <c r="D872" s="224">
        <v>870296.2</v>
      </c>
    </row>
    <row r="873" spans="1:4">
      <c r="A873" s="107">
        <v>1</v>
      </c>
      <c r="B873" s="1324"/>
      <c r="C873" t="s">
        <v>445</v>
      </c>
      <c r="D873" s="224">
        <v>0</v>
      </c>
    </row>
    <row r="874" spans="1:4">
      <c r="A874" s="107">
        <v>1</v>
      </c>
      <c r="B874" s="1324"/>
      <c r="C874" t="s">
        <v>446</v>
      </c>
      <c r="D874" s="224">
        <v>8593.4</v>
      </c>
    </row>
    <row r="875" spans="1:4">
      <c r="A875" s="107">
        <v>1</v>
      </c>
      <c r="B875" s="1324"/>
      <c r="C875" t="s">
        <v>1253</v>
      </c>
      <c r="D875" s="224">
        <v>0</v>
      </c>
    </row>
    <row r="876" spans="1:4">
      <c r="A876" s="107">
        <v>1</v>
      </c>
      <c r="B876" s="1324"/>
      <c r="C876" t="s">
        <v>421</v>
      </c>
      <c r="D876" s="224">
        <v>10799.7</v>
      </c>
    </row>
    <row r="877" spans="1:4">
      <c r="A877" s="107">
        <v>15</v>
      </c>
      <c r="B877" s="1323" t="s">
        <v>869</v>
      </c>
      <c r="C877" t="s">
        <v>444</v>
      </c>
      <c r="D877" s="224">
        <v>1924660.8</v>
      </c>
    </row>
    <row r="878" spans="1:4">
      <c r="A878" s="107">
        <v>15</v>
      </c>
      <c r="B878" s="1324"/>
      <c r="C878" t="s">
        <v>445</v>
      </c>
      <c r="D878" s="224">
        <v>3585015.3</v>
      </c>
    </row>
    <row r="879" spans="1:4">
      <c r="A879" s="107">
        <v>15</v>
      </c>
      <c r="B879" s="1324"/>
      <c r="C879" t="s">
        <v>446</v>
      </c>
      <c r="D879" s="224">
        <v>0</v>
      </c>
    </row>
    <row r="880" spans="1:4">
      <c r="A880" s="107">
        <v>15</v>
      </c>
      <c r="B880" s="1324"/>
      <c r="C880" t="s">
        <v>1253</v>
      </c>
      <c r="D880" s="224">
        <v>0</v>
      </c>
    </row>
    <row r="881" spans="1:4">
      <c r="A881" s="107">
        <v>15</v>
      </c>
      <c r="B881" s="1324"/>
      <c r="C881" t="s">
        <v>421</v>
      </c>
      <c r="D881" s="224">
        <v>0</v>
      </c>
    </row>
    <row r="882" spans="1:4">
      <c r="A882" s="107">
        <v>2</v>
      </c>
      <c r="B882" s="1323" t="s">
        <v>870</v>
      </c>
      <c r="C882" t="s">
        <v>444</v>
      </c>
      <c r="D882" s="224">
        <v>0</v>
      </c>
    </row>
    <row r="883" spans="1:4">
      <c r="A883" s="107">
        <v>2</v>
      </c>
      <c r="B883" s="1324"/>
      <c r="C883" t="s">
        <v>445</v>
      </c>
      <c r="D883" s="224">
        <v>0</v>
      </c>
    </row>
    <row r="884" spans="1:4">
      <c r="A884" s="107">
        <v>2</v>
      </c>
      <c r="B884" s="1324"/>
      <c r="C884" t="s">
        <v>446</v>
      </c>
      <c r="D884" s="224">
        <v>28376.799999999999</v>
      </c>
    </row>
    <row r="885" spans="1:4">
      <c r="A885" s="107">
        <v>2</v>
      </c>
      <c r="B885" s="1324"/>
      <c r="C885" t="s">
        <v>1253</v>
      </c>
      <c r="D885" s="224">
        <v>0</v>
      </c>
    </row>
    <row r="886" spans="1:4">
      <c r="A886" s="107">
        <v>2</v>
      </c>
      <c r="B886" s="1324"/>
      <c r="C886" t="s">
        <v>421</v>
      </c>
      <c r="D886" s="224">
        <v>0</v>
      </c>
    </row>
    <row r="887" spans="1:4">
      <c r="A887" s="107">
        <v>2</v>
      </c>
      <c r="B887" s="1323" t="s">
        <v>871</v>
      </c>
      <c r="C887" t="s">
        <v>444</v>
      </c>
      <c r="D887" s="224">
        <v>0</v>
      </c>
    </row>
    <row r="888" spans="1:4">
      <c r="A888" s="107">
        <v>2</v>
      </c>
      <c r="B888" s="1324"/>
      <c r="C888" t="s">
        <v>445</v>
      </c>
      <c r="D888" s="224">
        <v>0</v>
      </c>
    </row>
    <row r="889" spans="1:4">
      <c r="A889" s="107">
        <v>2</v>
      </c>
      <c r="B889" s="1324"/>
      <c r="C889" t="s">
        <v>446</v>
      </c>
      <c r="D889" s="224">
        <v>28856.2</v>
      </c>
    </row>
    <row r="890" spans="1:4">
      <c r="A890" s="107">
        <v>2</v>
      </c>
      <c r="B890" s="1324"/>
      <c r="C890" t="s">
        <v>1253</v>
      </c>
      <c r="D890" s="224">
        <v>0</v>
      </c>
    </row>
    <row r="891" spans="1:4">
      <c r="A891" s="107">
        <v>2</v>
      </c>
      <c r="B891" s="1324"/>
      <c r="C891" t="s">
        <v>421</v>
      </c>
      <c r="D891" s="224">
        <v>0</v>
      </c>
    </row>
    <row r="892" spans="1:4">
      <c r="A892" s="107">
        <v>2</v>
      </c>
      <c r="B892" s="1323" t="s">
        <v>872</v>
      </c>
      <c r="C892" t="s">
        <v>444</v>
      </c>
      <c r="D892" s="224">
        <v>0</v>
      </c>
    </row>
    <row r="893" spans="1:4">
      <c r="A893" s="107">
        <v>2</v>
      </c>
      <c r="B893" s="1324"/>
      <c r="C893" t="s">
        <v>445</v>
      </c>
      <c r="D893" s="224">
        <v>0</v>
      </c>
    </row>
    <row r="894" spans="1:4">
      <c r="A894" s="107">
        <v>2</v>
      </c>
      <c r="B894" s="1324"/>
      <c r="C894" t="s">
        <v>446</v>
      </c>
      <c r="D894" s="224">
        <v>62257.8</v>
      </c>
    </row>
    <row r="895" spans="1:4">
      <c r="A895" s="107">
        <v>2</v>
      </c>
      <c r="B895" s="1324"/>
      <c r="C895" t="s">
        <v>1253</v>
      </c>
      <c r="D895" s="224">
        <v>0</v>
      </c>
    </row>
    <row r="896" spans="1:4">
      <c r="A896" s="107">
        <v>2</v>
      </c>
      <c r="B896" s="1324"/>
      <c r="C896" t="s">
        <v>421</v>
      </c>
      <c r="D896" s="224">
        <v>0</v>
      </c>
    </row>
    <row r="897" spans="1:4">
      <c r="A897" s="107">
        <v>2</v>
      </c>
      <c r="B897" s="1323" t="s">
        <v>873</v>
      </c>
      <c r="C897" t="s">
        <v>444</v>
      </c>
      <c r="D897" s="224">
        <v>0</v>
      </c>
    </row>
    <row r="898" spans="1:4">
      <c r="A898" s="107">
        <v>2</v>
      </c>
      <c r="B898" s="1324"/>
      <c r="C898" t="s">
        <v>445</v>
      </c>
      <c r="D898" s="224">
        <v>0</v>
      </c>
    </row>
    <row r="899" spans="1:4">
      <c r="A899" s="107">
        <v>2</v>
      </c>
      <c r="B899" s="1324"/>
      <c r="C899" t="s">
        <v>446</v>
      </c>
      <c r="D899" s="224">
        <v>68919.7</v>
      </c>
    </row>
    <row r="900" spans="1:4">
      <c r="A900" s="107">
        <v>2</v>
      </c>
      <c r="B900" s="1324"/>
      <c r="C900" t="s">
        <v>1253</v>
      </c>
      <c r="D900" s="224">
        <v>0</v>
      </c>
    </row>
    <row r="901" spans="1:4">
      <c r="A901" s="107">
        <v>2</v>
      </c>
      <c r="B901" s="1324"/>
      <c r="C901" t="s">
        <v>421</v>
      </c>
      <c r="D901" s="224">
        <v>0</v>
      </c>
    </row>
    <row r="902" spans="1:4">
      <c r="A902" s="107">
        <v>2</v>
      </c>
      <c r="B902" s="1323" t="s">
        <v>874</v>
      </c>
      <c r="C902" t="s">
        <v>444</v>
      </c>
      <c r="D902" s="224">
        <v>0</v>
      </c>
    </row>
    <row r="903" spans="1:4">
      <c r="A903" s="107">
        <v>2</v>
      </c>
      <c r="B903" s="1324"/>
      <c r="C903" t="s">
        <v>445</v>
      </c>
      <c r="D903" s="224">
        <v>0</v>
      </c>
    </row>
    <row r="904" spans="1:4">
      <c r="A904" s="107">
        <v>2</v>
      </c>
      <c r="B904" s="1324"/>
      <c r="C904" t="s">
        <v>446</v>
      </c>
      <c r="D904" s="224">
        <v>82775.399999999994</v>
      </c>
    </row>
    <row r="905" spans="1:4">
      <c r="A905" s="107">
        <v>2</v>
      </c>
      <c r="B905" s="1324"/>
      <c r="C905" t="s">
        <v>1253</v>
      </c>
      <c r="D905" s="224">
        <v>0</v>
      </c>
    </row>
    <row r="906" spans="1:4">
      <c r="A906" s="107">
        <v>2</v>
      </c>
      <c r="B906" s="1324"/>
      <c r="C906" t="s">
        <v>421</v>
      </c>
      <c r="D906" s="224">
        <v>0</v>
      </c>
    </row>
    <row r="907" spans="1:4">
      <c r="A907" s="107">
        <v>1</v>
      </c>
      <c r="B907" s="1323" t="s">
        <v>875</v>
      </c>
      <c r="C907" t="s">
        <v>444</v>
      </c>
      <c r="D907" s="224">
        <v>1396022.9</v>
      </c>
    </row>
    <row r="908" spans="1:4">
      <c r="A908" s="107">
        <v>1</v>
      </c>
      <c r="B908" s="1324"/>
      <c r="C908" t="s">
        <v>445</v>
      </c>
      <c r="D908" s="224">
        <v>108551</v>
      </c>
    </row>
    <row r="909" spans="1:4">
      <c r="A909" s="107">
        <v>1</v>
      </c>
      <c r="B909" s="1324"/>
      <c r="C909" t="s">
        <v>446</v>
      </c>
      <c r="D909" s="224">
        <v>33083.300000000003</v>
      </c>
    </row>
    <row r="910" spans="1:4">
      <c r="A910" s="107">
        <v>1</v>
      </c>
      <c r="B910" s="1324"/>
      <c r="C910" t="s">
        <v>1253</v>
      </c>
      <c r="D910" s="224">
        <v>0</v>
      </c>
    </row>
    <row r="911" spans="1:4">
      <c r="A911" s="107">
        <v>1</v>
      </c>
      <c r="B911" s="1324"/>
      <c r="C911" t="s">
        <v>421</v>
      </c>
      <c r="D911" s="224">
        <v>0</v>
      </c>
    </row>
    <row r="912" spans="1:4">
      <c r="A912" s="107">
        <v>15</v>
      </c>
      <c r="B912" s="1323" t="s">
        <v>876</v>
      </c>
      <c r="C912" t="s">
        <v>444</v>
      </c>
      <c r="D912" s="224">
        <v>1173183.1000000001</v>
      </c>
    </row>
    <row r="913" spans="1:4">
      <c r="A913" s="107">
        <v>15</v>
      </c>
      <c r="B913" s="1324"/>
      <c r="C913" t="s">
        <v>445</v>
      </c>
      <c r="D913" s="224">
        <v>1718800.1</v>
      </c>
    </row>
    <row r="914" spans="1:4">
      <c r="A914" s="107">
        <v>15</v>
      </c>
      <c r="B914" s="1324"/>
      <c r="C914" t="s">
        <v>446</v>
      </c>
      <c r="D914" s="224">
        <v>0</v>
      </c>
    </row>
    <row r="915" spans="1:4">
      <c r="A915" s="107">
        <v>15</v>
      </c>
      <c r="B915" s="1324"/>
      <c r="C915" t="s">
        <v>1253</v>
      </c>
      <c r="D915" s="224">
        <v>0</v>
      </c>
    </row>
    <row r="916" spans="1:4">
      <c r="A916" s="107">
        <v>15</v>
      </c>
      <c r="B916" s="1324"/>
      <c r="C916" t="s">
        <v>421</v>
      </c>
      <c r="D916" s="224">
        <v>0</v>
      </c>
    </row>
    <row r="917" spans="1:4">
      <c r="A917" s="107">
        <v>4</v>
      </c>
      <c r="B917" s="1323" t="s">
        <v>877</v>
      </c>
      <c r="C917" t="s">
        <v>444</v>
      </c>
      <c r="D917" s="224">
        <v>870470.1</v>
      </c>
    </row>
    <row r="918" spans="1:4">
      <c r="A918" s="107">
        <v>4</v>
      </c>
      <c r="B918" s="1324"/>
      <c r="C918" t="s">
        <v>445</v>
      </c>
      <c r="D918" s="224">
        <v>1929.6</v>
      </c>
    </row>
    <row r="919" spans="1:4">
      <c r="A919" s="107">
        <v>4</v>
      </c>
      <c r="B919" s="1324"/>
      <c r="C919" t="s">
        <v>446</v>
      </c>
      <c r="D919" s="224">
        <v>42904.3</v>
      </c>
    </row>
    <row r="920" spans="1:4">
      <c r="A920" s="107">
        <v>4</v>
      </c>
      <c r="B920" s="1324"/>
      <c r="C920" t="s">
        <v>1253</v>
      </c>
      <c r="D920" s="224">
        <v>0</v>
      </c>
    </row>
    <row r="921" spans="1:4">
      <c r="A921" s="107">
        <v>4</v>
      </c>
      <c r="B921" s="1324"/>
      <c r="C921" t="s">
        <v>421</v>
      </c>
      <c r="D921" s="224">
        <v>0</v>
      </c>
    </row>
    <row r="922" spans="1:4">
      <c r="A922" s="107">
        <v>4</v>
      </c>
      <c r="B922" s="1323" t="s">
        <v>878</v>
      </c>
      <c r="C922" t="s">
        <v>444</v>
      </c>
      <c r="D922" s="224">
        <v>823283.7</v>
      </c>
    </row>
    <row r="923" spans="1:4">
      <c r="A923" s="107">
        <v>4</v>
      </c>
      <c r="B923" s="1324"/>
      <c r="C923" t="s">
        <v>445</v>
      </c>
      <c r="D923" s="224">
        <v>5096.3</v>
      </c>
    </row>
    <row r="924" spans="1:4">
      <c r="A924" s="107">
        <v>4</v>
      </c>
      <c r="B924" s="1324"/>
      <c r="C924" t="s">
        <v>446</v>
      </c>
      <c r="D924" s="224">
        <v>157181</v>
      </c>
    </row>
    <row r="925" spans="1:4">
      <c r="A925" s="107">
        <v>4</v>
      </c>
      <c r="B925" s="1324"/>
      <c r="C925" t="s">
        <v>1253</v>
      </c>
      <c r="D925" s="224">
        <v>0</v>
      </c>
    </row>
    <row r="926" spans="1:4">
      <c r="A926" s="107">
        <v>4</v>
      </c>
      <c r="B926" s="1324"/>
      <c r="C926" t="s">
        <v>421</v>
      </c>
      <c r="D926" s="224">
        <v>0</v>
      </c>
    </row>
    <row r="927" spans="1:4">
      <c r="A927" s="107">
        <v>1</v>
      </c>
      <c r="B927" s="1323" t="s">
        <v>879</v>
      </c>
      <c r="C927" t="s">
        <v>444</v>
      </c>
      <c r="D927" s="224">
        <v>902465.5</v>
      </c>
    </row>
    <row r="928" spans="1:4">
      <c r="A928" s="107">
        <v>1</v>
      </c>
      <c r="B928" s="1324"/>
      <c r="C928" t="s">
        <v>445</v>
      </c>
      <c r="D928" s="224">
        <v>46848.4</v>
      </c>
    </row>
    <row r="929" spans="1:4">
      <c r="A929" s="107">
        <v>1</v>
      </c>
      <c r="B929" s="1324"/>
      <c r="C929" t="s">
        <v>446</v>
      </c>
      <c r="D929" s="224">
        <v>65186</v>
      </c>
    </row>
    <row r="930" spans="1:4">
      <c r="A930" s="107">
        <v>1</v>
      </c>
      <c r="B930" s="1324"/>
      <c r="C930" t="s">
        <v>1253</v>
      </c>
      <c r="D930" s="224">
        <v>0</v>
      </c>
    </row>
    <row r="931" spans="1:4">
      <c r="A931" s="107">
        <v>1</v>
      </c>
      <c r="B931" s="1324"/>
      <c r="C931" t="s">
        <v>421</v>
      </c>
      <c r="D931" s="224">
        <v>0</v>
      </c>
    </row>
    <row r="932" spans="1:4">
      <c r="A932" s="107">
        <v>4</v>
      </c>
      <c r="B932" s="1323" t="s">
        <v>880</v>
      </c>
      <c r="C932" t="s">
        <v>444</v>
      </c>
      <c r="D932" s="224">
        <v>1329661.2</v>
      </c>
    </row>
    <row r="933" spans="1:4">
      <c r="A933" s="107">
        <v>4</v>
      </c>
      <c r="B933" s="1324"/>
      <c r="C933" t="s">
        <v>445</v>
      </c>
      <c r="D933" s="224">
        <v>42256.5</v>
      </c>
    </row>
    <row r="934" spans="1:4">
      <c r="A934" s="107">
        <v>4</v>
      </c>
      <c r="B934" s="1324"/>
      <c r="C934" t="s">
        <v>446</v>
      </c>
      <c r="D934" s="224">
        <v>110616.2</v>
      </c>
    </row>
    <row r="935" spans="1:4">
      <c r="A935" s="107">
        <v>4</v>
      </c>
      <c r="B935" s="1324"/>
      <c r="C935" t="s">
        <v>1253</v>
      </c>
      <c r="D935" s="224">
        <v>0</v>
      </c>
    </row>
    <row r="936" spans="1:4">
      <c r="A936" s="107">
        <v>4</v>
      </c>
      <c r="B936" s="1324"/>
      <c r="C936" t="s">
        <v>421</v>
      </c>
      <c r="D936" s="224">
        <v>0</v>
      </c>
    </row>
    <row r="937" spans="1:4">
      <c r="A937" s="107">
        <v>2</v>
      </c>
      <c r="B937" s="1323" t="s">
        <v>881</v>
      </c>
      <c r="C937" t="s">
        <v>444</v>
      </c>
      <c r="D937" s="224">
        <v>0</v>
      </c>
    </row>
    <row r="938" spans="1:4">
      <c r="A938" s="107">
        <v>2</v>
      </c>
      <c r="B938" s="1324"/>
      <c r="C938" t="s">
        <v>445</v>
      </c>
      <c r="D938" s="224">
        <v>0</v>
      </c>
    </row>
    <row r="939" spans="1:4">
      <c r="A939" s="107">
        <v>2</v>
      </c>
      <c r="B939" s="1324"/>
      <c r="C939" t="s">
        <v>446</v>
      </c>
      <c r="D939" s="224">
        <v>4512.3999999999996</v>
      </c>
    </row>
    <row r="940" spans="1:4">
      <c r="A940" s="107">
        <v>2</v>
      </c>
      <c r="B940" s="1324"/>
      <c r="C940" t="s">
        <v>1253</v>
      </c>
      <c r="D940" s="224">
        <v>0</v>
      </c>
    </row>
    <row r="941" spans="1:4">
      <c r="A941" s="107">
        <v>2</v>
      </c>
      <c r="B941" s="1324"/>
      <c r="C941" t="s">
        <v>421</v>
      </c>
      <c r="D941" s="224">
        <v>0</v>
      </c>
    </row>
    <row r="942" spans="1:4">
      <c r="A942" s="107">
        <v>1</v>
      </c>
      <c r="B942" s="1323" t="s">
        <v>882</v>
      </c>
      <c r="C942" t="s">
        <v>444</v>
      </c>
      <c r="D942" s="224">
        <v>2181600</v>
      </c>
    </row>
    <row r="943" spans="1:4">
      <c r="A943" s="107">
        <v>1</v>
      </c>
      <c r="B943" s="1324"/>
      <c r="C943" t="s">
        <v>445</v>
      </c>
      <c r="D943" s="224">
        <v>785309</v>
      </c>
    </row>
    <row r="944" spans="1:4">
      <c r="A944" s="107">
        <v>1</v>
      </c>
      <c r="B944" s="1324"/>
      <c r="C944" t="s">
        <v>446</v>
      </c>
      <c r="D944" s="224">
        <v>384526</v>
      </c>
    </row>
    <row r="945" spans="1:4">
      <c r="A945" s="107">
        <v>1</v>
      </c>
      <c r="B945" s="1324"/>
      <c r="C945" t="s">
        <v>1253</v>
      </c>
      <c r="D945" s="224">
        <v>0</v>
      </c>
    </row>
    <row r="946" spans="1:4">
      <c r="A946" s="107">
        <v>1</v>
      </c>
      <c r="B946" s="1324"/>
      <c r="C946" t="s">
        <v>421</v>
      </c>
      <c r="D946" s="224">
        <v>0</v>
      </c>
    </row>
    <row r="947" spans="1:4">
      <c r="A947" s="107">
        <v>2</v>
      </c>
      <c r="B947" s="1323" t="s">
        <v>883</v>
      </c>
      <c r="C947" t="s">
        <v>444</v>
      </c>
      <c r="D947" s="224">
        <v>0</v>
      </c>
    </row>
    <row r="948" spans="1:4">
      <c r="A948" s="107">
        <v>2</v>
      </c>
      <c r="B948" s="1324"/>
      <c r="C948" t="s">
        <v>445</v>
      </c>
      <c r="D948" s="224">
        <v>0</v>
      </c>
    </row>
    <row r="949" spans="1:4">
      <c r="A949" s="107">
        <v>2</v>
      </c>
      <c r="B949" s="1324"/>
      <c r="C949" t="s">
        <v>446</v>
      </c>
      <c r="D949" s="224">
        <v>4082.5</v>
      </c>
    </row>
    <row r="950" spans="1:4">
      <c r="A950" s="107">
        <v>2</v>
      </c>
      <c r="B950" s="1324"/>
      <c r="C950" t="s">
        <v>1253</v>
      </c>
      <c r="D950" s="224">
        <v>0</v>
      </c>
    </row>
    <row r="951" spans="1:4">
      <c r="A951" s="107">
        <v>2</v>
      </c>
      <c r="B951" s="1324"/>
      <c r="C951" t="s">
        <v>421</v>
      </c>
      <c r="D951" s="224">
        <v>0</v>
      </c>
    </row>
    <row r="952" spans="1:4">
      <c r="A952" s="107">
        <v>2</v>
      </c>
      <c r="B952" s="1323" t="s">
        <v>884</v>
      </c>
      <c r="C952" t="s">
        <v>444</v>
      </c>
      <c r="D952" s="224">
        <v>0</v>
      </c>
    </row>
    <row r="953" spans="1:4">
      <c r="A953" s="107">
        <v>2</v>
      </c>
      <c r="B953" s="1324"/>
      <c r="C953" t="s">
        <v>445</v>
      </c>
      <c r="D953" s="224">
        <v>0</v>
      </c>
    </row>
    <row r="954" spans="1:4">
      <c r="A954" s="107">
        <v>2</v>
      </c>
      <c r="B954" s="1324"/>
      <c r="C954" t="s">
        <v>446</v>
      </c>
      <c r="D954" s="224">
        <v>4614</v>
      </c>
    </row>
    <row r="955" spans="1:4">
      <c r="A955" s="107">
        <v>2</v>
      </c>
      <c r="B955" s="1324"/>
      <c r="C955" t="s">
        <v>1253</v>
      </c>
      <c r="D955" s="224">
        <v>0</v>
      </c>
    </row>
    <row r="956" spans="1:4">
      <c r="A956" s="107">
        <v>2</v>
      </c>
      <c r="B956" s="1324"/>
      <c r="C956" t="s">
        <v>421</v>
      </c>
      <c r="D956" s="224">
        <v>0</v>
      </c>
    </row>
    <row r="957" spans="1:4">
      <c r="A957" s="107">
        <v>8</v>
      </c>
      <c r="B957" s="1323" t="s">
        <v>885</v>
      </c>
      <c r="C957" t="s">
        <v>444</v>
      </c>
      <c r="D957" s="224">
        <v>2909839</v>
      </c>
    </row>
    <row r="958" spans="1:4">
      <c r="A958" s="107">
        <v>8</v>
      </c>
      <c r="B958" s="1324"/>
      <c r="C958" t="s">
        <v>445</v>
      </c>
      <c r="D958" s="224">
        <v>969582</v>
      </c>
    </row>
    <row r="959" spans="1:4">
      <c r="A959" s="107">
        <v>8</v>
      </c>
      <c r="B959" s="1324"/>
      <c r="C959" t="s">
        <v>446</v>
      </c>
      <c r="D959" s="224">
        <v>14797</v>
      </c>
    </row>
    <row r="960" spans="1:4">
      <c r="A960" s="107">
        <v>8</v>
      </c>
      <c r="B960" s="1324"/>
      <c r="C960" t="s">
        <v>1253</v>
      </c>
      <c r="D960" s="224">
        <v>0</v>
      </c>
    </row>
    <row r="961" spans="1:4">
      <c r="A961" s="107">
        <v>8</v>
      </c>
      <c r="B961" s="1324"/>
      <c r="C961" t="s">
        <v>421</v>
      </c>
      <c r="D961" s="224">
        <v>0</v>
      </c>
    </row>
    <row r="962" spans="1:4">
      <c r="A962" s="107">
        <v>1</v>
      </c>
      <c r="B962" s="1323" t="s">
        <v>886</v>
      </c>
      <c r="C962" t="s">
        <v>444</v>
      </c>
      <c r="D962" s="224">
        <v>1609.8</v>
      </c>
    </row>
    <row r="963" spans="1:4">
      <c r="A963" s="107">
        <v>1</v>
      </c>
      <c r="B963" s="1324"/>
      <c r="C963" t="s">
        <v>445</v>
      </c>
      <c r="D963" s="224">
        <v>93492.7</v>
      </c>
    </row>
    <row r="964" spans="1:4">
      <c r="A964" s="107">
        <v>1</v>
      </c>
      <c r="B964" s="1324"/>
      <c r="C964" t="s">
        <v>446</v>
      </c>
      <c r="D964" s="224">
        <v>0</v>
      </c>
    </row>
    <row r="965" spans="1:4">
      <c r="A965" s="107">
        <v>1</v>
      </c>
      <c r="B965" s="1324"/>
      <c r="C965" t="s">
        <v>1253</v>
      </c>
      <c r="D965" s="224">
        <v>0</v>
      </c>
    </row>
    <row r="966" spans="1:4">
      <c r="A966" s="107">
        <v>1</v>
      </c>
      <c r="B966" s="1325"/>
      <c r="C966" t="s">
        <v>421</v>
      </c>
      <c r="D966" s="224">
        <v>0</v>
      </c>
    </row>
    <row r="967" spans="1:4">
      <c r="A967" s="107">
        <v>8</v>
      </c>
      <c r="B967" s="1323" t="s">
        <v>887</v>
      </c>
      <c r="C967" t="s">
        <v>444</v>
      </c>
      <c r="D967" s="224">
        <v>807631.5</v>
      </c>
    </row>
    <row r="968" spans="1:4">
      <c r="A968" s="107">
        <v>8</v>
      </c>
      <c r="B968" s="1324"/>
      <c r="C968" t="s">
        <v>445</v>
      </c>
      <c r="D968" s="224">
        <v>2624025.6000000001</v>
      </c>
    </row>
    <row r="969" spans="1:4">
      <c r="A969" s="107">
        <v>8</v>
      </c>
      <c r="B969" s="1324"/>
      <c r="C969" t="s">
        <v>446</v>
      </c>
      <c r="D969" s="224">
        <v>0</v>
      </c>
    </row>
    <row r="970" spans="1:4">
      <c r="A970" s="107">
        <v>8</v>
      </c>
      <c r="B970" s="1324"/>
      <c r="C970" t="s">
        <v>1253</v>
      </c>
      <c r="D970" s="224">
        <v>0</v>
      </c>
    </row>
    <row r="971" spans="1:4">
      <c r="A971" s="107">
        <v>8</v>
      </c>
      <c r="B971" s="1324"/>
      <c r="C971" t="s">
        <v>421</v>
      </c>
      <c r="D971" s="224">
        <v>0</v>
      </c>
    </row>
    <row r="972" spans="1:4">
      <c r="A972" s="107">
        <v>6</v>
      </c>
      <c r="B972" s="1323" t="s">
        <v>888</v>
      </c>
      <c r="C972" t="s">
        <v>444</v>
      </c>
      <c r="D972" s="224">
        <v>0</v>
      </c>
    </row>
    <row r="973" spans="1:4">
      <c r="A973" s="107">
        <v>6</v>
      </c>
      <c r="B973" s="1324"/>
      <c r="C973" t="s">
        <v>445</v>
      </c>
      <c r="D973" s="224">
        <v>0</v>
      </c>
    </row>
    <row r="974" spans="1:4">
      <c r="A974" s="107">
        <v>6</v>
      </c>
      <c r="B974" s="1324"/>
      <c r="C974" t="s">
        <v>446</v>
      </c>
      <c r="D974" s="224">
        <v>3638.1</v>
      </c>
    </row>
    <row r="975" spans="1:4">
      <c r="A975" s="107">
        <v>6</v>
      </c>
      <c r="B975" s="1324"/>
      <c r="C975" t="s">
        <v>1253</v>
      </c>
      <c r="D975" s="224">
        <v>0</v>
      </c>
    </row>
    <row r="976" spans="1:4">
      <c r="A976" s="107">
        <v>6</v>
      </c>
      <c r="B976" s="1324"/>
      <c r="C976" t="s">
        <v>421</v>
      </c>
      <c r="D976" s="224">
        <v>0</v>
      </c>
    </row>
    <row r="977" spans="1:4">
      <c r="A977" s="107">
        <v>11</v>
      </c>
      <c r="B977" s="1323" t="s">
        <v>889</v>
      </c>
      <c r="C977" t="s">
        <v>444</v>
      </c>
      <c r="D977" s="224">
        <v>1470565.6</v>
      </c>
    </row>
    <row r="978" spans="1:4">
      <c r="A978" s="107">
        <v>11</v>
      </c>
      <c r="B978" s="1324"/>
      <c r="C978" t="s">
        <v>445</v>
      </c>
      <c r="D978" s="224">
        <v>4411656.8</v>
      </c>
    </row>
    <row r="979" spans="1:4">
      <c r="A979" s="107">
        <v>11</v>
      </c>
      <c r="B979" s="1324"/>
      <c r="C979" t="s">
        <v>446</v>
      </c>
      <c r="D979" s="224">
        <v>0</v>
      </c>
    </row>
    <row r="980" spans="1:4">
      <c r="A980" s="107">
        <v>11</v>
      </c>
      <c r="B980" s="1324"/>
      <c r="C980" t="s">
        <v>1253</v>
      </c>
      <c r="D980" s="224">
        <v>0</v>
      </c>
    </row>
    <row r="981" spans="1:4">
      <c r="A981" s="107">
        <v>11</v>
      </c>
      <c r="B981" s="1324"/>
      <c r="C981" t="s">
        <v>421</v>
      </c>
      <c r="D981" s="224">
        <v>0</v>
      </c>
    </row>
    <row r="982" spans="1:4">
      <c r="A982" s="107">
        <v>1</v>
      </c>
      <c r="B982" s="1323" t="s">
        <v>890</v>
      </c>
      <c r="C982" t="s">
        <v>444</v>
      </c>
      <c r="D982" s="224">
        <v>0</v>
      </c>
    </row>
    <row r="983" spans="1:4">
      <c r="A983" s="107">
        <v>1</v>
      </c>
      <c r="B983" s="1324"/>
      <c r="C983" t="s">
        <v>445</v>
      </c>
      <c r="D983" s="224">
        <v>0</v>
      </c>
    </row>
    <row r="984" spans="1:4">
      <c r="A984" s="107">
        <v>1</v>
      </c>
      <c r="B984" s="1324"/>
      <c r="C984" t="s">
        <v>446</v>
      </c>
      <c r="D984" s="224">
        <v>15268</v>
      </c>
    </row>
    <row r="985" spans="1:4">
      <c r="A985" s="107">
        <v>1</v>
      </c>
      <c r="B985" s="1324"/>
      <c r="C985" t="s">
        <v>1253</v>
      </c>
      <c r="D985" s="224">
        <v>0</v>
      </c>
    </row>
    <row r="986" spans="1:4">
      <c r="A986" s="107">
        <v>1</v>
      </c>
      <c r="B986" s="1324"/>
      <c r="C986" t="s">
        <v>421</v>
      </c>
      <c r="D986" s="224">
        <v>0</v>
      </c>
    </row>
    <row r="987" spans="1:4">
      <c r="A987" s="107">
        <v>3</v>
      </c>
      <c r="B987" s="1323" t="s">
        <v>891</v>
      </c>
      <c r="C987" t="s">
        <v>444</v>
      </c>
      <c r="D987" s="224">
        <v>56610.1</v>
      </c>
    </row>
    <row r="988" spans="1:4">
      <c r="A988" s="107">
        <v>3</v>
      </c>
      <c r="B988" s="1324"/>
      <c r="C988" t="s">
        <v>445</v>
      </c>
      <c r="D988" s="224">
        <v>0</v>
      </c>
    </row>
    <row r="989" spans="1:4">
      <c r="A989" s="107">
        <v>3</v>
      </c>
      <c r="B989" s="1324"/>
      <c r="C989" t="s">
        <v>446</v>
      </c>
      <c r="D989" s="224">
        <v>57834.1</v>
      </c>
    </row>
    <row r="990" spans="1:4">
      <c r="A990" s="107">
        <v>3</v>
      </c>
      <c r="B990" s="1324"/>
      <c r="C990" t="s">
        <v>1253</v>
      </c>
      <c r="D990" s="224">
        <v>0</v>
      </c>
    </row>
    <row r="991" spans="1:4">
      <c r="A991" s="107">
        <v>3</v>
      </c>
      <c r="B991" s="1324"/>
      <c r="C991" t="s">
        <v>421</v>
      </c>
      <c r="D991" s="224">
        <v>0</v>
      </c>
    </row>
    <row r="992" spans="1:4">
      <c r="A992" s="107">
        <v>1</v>
      </c>
      <c r="B992" s="1323" t="s">
        <v>892</v>
      </c>
      <c r="C992" t="s">
        <v>444</v>
      </c>
      <c r="D992" s="224">
        <v>243949</v>
      </c>
    </row>
    <row r="993" spans="1:4">
      <c r="A993" s="107">
        <v>1</v>
      </c>
      <c r="B993" s="1324"/>
      <c r="C993" t="s">
        <v>445</v>
      </c>
      <c r="D993" s="224">
        <v>552862.4</v>
      </c>
    </row>
    <row r="994" spans="1:4">
      <c r="A994" s="107">
        <v>1</v>
      </c>
      <c r="B994" s="1324"/>
      <c r="C994" t="s">
        <v>446</v>
      </c>
      <c r="D994" s="224">
        <v>6681.2</v>
      </c>
    </row>
    <row r="995" spans="1:4">
      <c r="A995" s="107">
        <v>1</v>
      </c>
      <c r="B995" s="1324"/>
      <c r="C995" t="s">
        <v>1253</v>
      </c>
      <c r="D995" s="224">
        <v>0</v>
      </c>
    </row>
    <row r="996" spans="1:4">
      <c r="A996" s="107">
        <v>1</v>
      </c>
      <c r="B996" s="1324"/>
      <c r="C996" t="s">
        <v>421</v>
      </c>
      <c r="D996" s="224">
        <v>0</v>
      </c>
    </row>
    <row r="997" spans="1:4">
      <c r="A997" s="107">
        <v>1</v>
      </c>
      <c r="B997" s="1323" t="s">
        <v>893</v>
      </c>
      <c r="C997" t="s">
        <v>444</v>
      </c>
      <c r="D997" s="224">
        <v>326047.3</v>
      </c>
    </row>
    <row r="998" spans="1:4">
      <c r="A998" s="107">
        <v>1</v>
      </c>
      <c r="B998" s="1324"/>
      <c r="C998" t="s">
        <v>445</v>
      </c>
      <c r="D998" s="224">
        <v>0</v>
      </c>
    </row>
    <row r="999" spans="1:4">
      <c r="A999" s="107">
        <v>1</v>
      </c>
      <c r="B999" s="1324"/>
      <c r="C999" t="s">
        <v>446</v>
      </c>
      <c r="D999" s="224">
        <v>5312.1</v>
      </c>
    </row>
    <row r="1000" spans="1:4">
      <c r="A1000" s="107">
        <v>1</v>
      </c>
      <c r="B1000" s="1324"/>
      <c r="C1000" t="s">
        <v>1253</v>
      </c>
      <c r="D1000" s="224">
        <v>11633</v>
      </c>
    </row>
    <row r="1001" spans="1:4">
      <c r="A1001" s="107">
        <v>1</v>
      </c>
      <c r="B1001" s="1324"/>
      <c r="C1001" t="s">
        <v>421</v>
      </c>
      <c r="D1001" s="224">
        <v>5157.8999999999996</v>
      </c>
    </row>
    <row r="1002" spans="1:4">
      <c r="A1002" s="107">
        <v>5</v>
      </c>
      <c r="B1002" s="1323" t="s">
        <v>894</v>
      </c>
      <c r="C1002" t="s">
        <v>444</v>
      </c>
      <c r="D1002" s="224">
        <v>1959749</v>
      </c>
    </row>
    <row r="1003" spans="1:4">
      <c r="A1003" s="107">
        <v>5</v>
      </c>
      <c r="B1003" s="1324"/>
      <c r="C1003" t="s">
        <v>445</v>
      </c>
      <c r="D1003" s="224">
        <v>0</v>
      </c>
    </row>
    <row r="1004" spans="1:4">
      <c r="A1004" s="107">
        <v>5</v>
      </c>
      <c r="B1004" s="1324"/>
      <c r="C1004" t="s">
        <v>446</v>
      </c>
      <c r="D1004" s="224">
        <v>0</v>
      </c>
    </row>
    <row r="1005" spans="1:4">
      <c r="A1005" s="107">
        <v>5</v>
      </c>
      <c r="B1005" s="1324"/>
      <c r="C1005" t="s">
        <v>1253</v>
      </c>
      <c r="D1005" s="224">
        <v>0</v>
      </c>
    </row>
    <row r="1006" spans="1:4">
      <c r="A1006" s="107">
        <v>5</v>
      </c>
      <c r="B1006" s="1325"/>
      <c r="C1006" t="s">
        <v>421</v>
      </c>
      <c r="D1006" s="224">
        <v>0</v>
      </c>
    </row>
    <row r="1007" spans="1:4">
      <c r="A1007" s="107">
        <v>5</v>
      </c>
      <c r="B1007" s="1323" t="s">
        <v>895</v>
      </c>
      <c r="C1007" t="s">
        <v>444</v>
      </c>
      <c r="D1007" s="224">
        <v>7525.1</v>
      </c>
    </row>
    <row r="1008" spans="1:4">
      <c r="A1008" s="107">
        <v>5</v>
      </c>
      <c r="B1008" s="1324"/>
      <c r="C1008" t="s">
        <v>445</v>
      </c>
      <c r="D1008" s="224">
        <v>0</v>
      </c>
    </row>
    <row r="1009" spans="1:4">
      <c r="A1009" s="107">
        <v>5</v>
      </c>
      <c r="B1009" s="1324"/>
      <c r="C1009" t="s">
        <v>446</v>
      </c>
      <c r="D1009" s="224">
        <v>16456</v>
      </c>
    </row>
    <row r="1010" spans="1:4">
      <c r="A1010" s="107">
        <v>5</v>
      </c>
      <c r="B1010" s="1324"/>
      <c r="C1010" t="s">
        <v>1253</v>
      </c>
      <c r="D1010" s="224">
        <v>0</v>
      </c>
    </row>
    <row r="1011" spans="1:4">
      <c r="A1011" s="107">
        <v>5</v>
      </c>
      <c r="B1011" s="1325"/>
      <c r="C1011" t="s">
        <v>421</v>
      </c>
      <c r="D1011" s="224">
        <v>0</v>
      </c>
    </row>
    <row r="1012" spans="1:4">
      <c r="A1012" s="107">
        <v>2</v>
      </c>
      <c r="B1012" s="1323" t="s">
        <v>896</v>
      </c>
      <c r="C1012" t="s">
        <v>444</v>
      </c>
      <c r="D1012" s="224">
        <v>0</v>
      </c>
    </row>
    <row r="1013" spans="1:4">
      <c r="A1013" s="107">
        <v>2</v>
      </c>
      <c r="B1013" s="1324"/>
      <c r="C1013" t="s">
        <v>445</v>
      </c>
      <c r="D1013" s="224">
        <v>0</v>
      </c>
    </row>
    <row r="1014" spans="1:4">
      <c r="A1014" s="107">
        <v>2</v>
      </c>
      <c r="B1014" s="1324"/>
      <c r="C1014" t="s">
        <v>446</v>
      </c>
      <c r="D1014" s="224">
        <v>4783.8999999999996</v>
      </c>
    </row>
    <row r="1015" spans="1:4">
      <c r="A1015" s="107">
        <v>2</v>
      </c>
      <c r="B1015" s="1324"/>
      <c r="C1015" t="s">
        <v>1253</v>
      </c>
      <c r="D1015" s="224">
        <v>0</v>
      </c>
    </row>
    <row r="1016" spans="1:4">
      <c r="A1016" s="107">
        <v>2</v>
      </c>
      <c r="B1016" s="1324"/>
      <c r="C1016" t="s">
        <v>421</v>
      </c>
      <c r="D1016" s="224">
        <v>0</v>
      </c>
    </row>
    <row r="1017" spans="1:4">
      <c r="A1017" s="107">
        <v>2</v>
      </c>
      <c r="B1017" s="1323" t="s">
        <v>897</v>
      </c>
      <c r="C1017" t="s">
        <v>444</v>
      </c>
      <c r="D1017" s="224">
        <v>0</v>
      </c>
    </row>
    <row r="1018" spans="1:4">
      <c r="A1018" s="107">
        <v>2</v>
      </c>
      <c r="B1018" s="1324"/>
      <c r="C1018" t="s">
        <v>445</v>
      </c>
      <c r="D1018" s="224">
        <v>0</v>
      </c>
    </row>
    <row r="1019" spans="1:4">
      <c r="A1019" s="107">
        <v>2</v>
      </c>
      <c r="B1019" s="1324"/>
      <c r="C1019" t="s">
        <v>446</v>
      </c>
      <c r="D1019" s="224">
        <v>2415.3000000000002</v>
      </c>
    </row>
    <row r="1020" spans="1:4">
      <c r="A1020" s="107">
        <v>2</v>
      </c>
      <c r="B1020" s="1324"/>
      <c r="C1020" t="s">
        <v>1253</v>
      </c>
      <c r="D1020" s="224">
        <v>0</v>
      </c>
    </row>
    <row r="1021" spans="1:4">
      <c r="A1021" s="107">
        <v>2</v>
      </c>
      <c r="B1021" s="1324"/>
      <c r="C1021" t="s">
        <v>421</v>
      </c>
      <c r="D1021" s="224">
        <v>0</v>
      </c>
    </row>
    <row r="1022" spans="1:4">
      <c r="A1022" s="107">
        <v>15</v>
      </c>
      <c r="B1022" s="1323" t="s">
        <v>898</v>
      </c>
      <c r="C1022" t="s">
        <v>444</v>
      </c>
      <c r="D1022" s="224">
        <v>62781.9</v>
      </c>
    </row>
    <row r="1023" spans="1:4">
      <c r="A1023" s="107">
        <v>15</v>
      </c>
      <c r="B1023" s="1324"/>
      <c r="C1023" t="s">
        <v>445</v>
      </c>
      <c r="D1023" s="224">
        <v>335972.8</v>
      </c>
    </row>
    <row r="1024" spans="1:4">
      <c r="A1024" s="107">
        <v>15</v>
      </c>
      <c r="B1024" s="1324"/>
      <c r="C1024" t="s">
        <v>446</v>
      </c>
      <c r="D1024" s="224">
        <v>44577.5</v>
      </c>
    </row>
    <row r="1025" spans="1:4">
      <c r="A1025" s="107">
        <v>15</v>
      </c>
      <c r="B1025" s="1324"/>
      <c r="C1025" t="s">
        <v>1253</v>
      </c>
      <c r="D1025" s="224">
        <v>0</v>
      </c>
    </row>
    <row r="1026" spans="1:4">
      <c r="A1026" s="107">
        <v>15</v>
      </c>
      <c r="B1026" s="1324"/>
      <c r="C1026" t="s">
        <v>421</v>
      </c>
      <c r="D1026" s="224">
        <v>0</v>
      </c>
    </row>
    <row r="1027" spans="1:4">
      <c r="A1027" s="107">
        <v>2</v>
      </c>
      <c r="B1027" s="1323" t="s">
        <v>852</v>
      </c>
      <c r="C1027" t="s">
        <v>444</v>
      </c>
      <c r="D1027" s="224">
        <v>0</v>
      </c>
    </row>
    <row r="1028" spans="1:4">
      <c r="A1028" s="107">
        <v>2</v>
      </c>
      <c r="B1028" s="1324"/>
      <c r="C1028" t="s">
        <v>445</v>
      </c>
      <c r="D1028" s="224">
        <v>0</v>
      </c>
    </row>
    <row r="1029" spans="1:4">
      <c r="A1029" s="107">
        <v>2</v>
      </c>
      <c r="B1029" s="1324"/>
      <c r="C1029" t="s">
        <v>446</v>
      </c>
      <c r="D1029" s="224">
        <v>280808.3</v>
      </c>
    </row>
    <row r="1030" spans="1:4">
      <c r="A1030" s="107">
        <v>2</v>
      </c>
      <c r="B1030" s="1324"/>
      <c r="C1030" t="s">
        <v>1253</v>
      </c>
      <c r="D1030" s="224">
        <v>0</v>
      </c>
    </row>
    <row r="1031" spans="1:4">
      <c r="A1031" s="107">
        <v>2</v>
      </c>
      <c r="B1031" s="1324"/>
      <c r="C1031" t="s">
        <v>421</v>
      </c>
      <c r="D1031" s="224">
        <v>0</v>
      </c>
    </row>
    <row r="1032" spans="1:4">
      <c r="A1032" s="107">
        <v>8</v>
      </c>
      <c r="B1032" s="1323" t="s">
        <v>899</v>
      </c>
      <c r="C1032" t="s">
        <v>444</v>
      </c>
      <c r="D1032" s="224">
        <v>0</v>
      </c>
    </row>
    <row r="1033" spans="1:4">
      <c r="A1033" s="107">
        <v>8</v>
      </c>
      <c r="B1033" s="1324"/>
      <c r="C1033" t="s">
        <v>445</v>
      </c>
      <c r="D1033" s="224">
        <v>0</v>
      </c>
    </row>
    <row r="1034" spans="1:4">
      <c r="A1034" s="107">
        <v>8</v>
      </c>
      <c r="B1034" s="1324"/>
      <c r="C1034" t="s">
        <v>446</v>
      </c>
      <c r="D1034" s="224">
        <v>36506.699999999997</v>
      </c>
    </row>
    <row r="1035" spans="1:4">
      <c r="A1035" s="107">
        <v>8</v>
      </c>
      <c r="B1035" s="1324"/>
      <c r="C1035" t="s">
        <v>1253</v>
      </c>
      <c r="D1035" s="224">
        <v>1017500</v>
      </c>
    </row>
    <row r="1036" spans="1:4">
      <c r="A1036" s="107">
        <v>8</v>
      </c>
      <c r="B1036" s="1324"/>
      <c r="C1036" t="s">
        <v>421</v>
      </c>
      <c r="D1036" s="224">
        <v>0</v>
      </c>
    </row>
    <row r="1037" spans="1:4">
      <c r="A1037" s="107">
        <v>1</v>
      </c>
      <c r="B1037" s="1323" t="s">
        <v>900</v>
      </c>
      <c r="C1037" t="s">
        <v>444</v>
      </c>
      <c r="D1037" s="224">
        <v>0</v>
      </c>
    </row>
    <row r="1038" spans="1:4">
      <c r="A1038" s="107">
        <v>1</v>
      </c>
      <c r="B1038" s="1324"/>
      <c r="C1038" t="s">
        <v>445</v>
      </c>
      <c r="D1038" s="224">
        <v>0</v>
      </c>
    </row>
    <row r="1039" spans="1:4">
      <c r="A1039" s="107">
        <v>1</v>
      </c>
      <c r="B1039" s="1324"/>
      <c r="C1039" t="s">
        <v>446</v>
      </c>
      <c r="D1039" s="224">
        <v>0</v>
      </c>
    </row>
    <row r="1040" spans="1:4">
      <c r="A1040" s="107">
        <v>1</v>
      </c>
      <c r="B1040" s="1324"/>
      <c r="C1040" t="s">
        <v>1253</v>
      </c>
      <c r="D1040" s="224">
        <v>167228</v>
      </c>
    </row>
    <row r="1041" spans="1:4">
      <c r="A1041" s="107">
        <v>1</v>
      </c>
      <c r="B1041" s="1324"/>
      <c r="C1041" t="s">
        <v>421</v>
      </c>
      <c r="D1041" s="224">
        <v>0</v>
      </c>
    </row>
    <row r="1042" spans="1:4">
      <c r="A1042" s="107">
        <v>2</v>
      </c>
      <c r="B1042" s="1323" t="s">
        <v>901</v>
      </c>
      <c r="C1042" t="s">
        <v>444</v>
      </c>
      <c r="D1042" s="224">
        <v>0</v>
      </c>
    </row>
    <row r="1043" spans="1:4">
      <c r="A1043" s="107">
        <v>2</v>
      </c>
      <c r="B1043" s="1324"/>
      <c r="C1043" t="s">
        <v>445</v>
      </c>
      <c r="D1043" s="224">
        <v>0</v>
      </c>
    </row>
    <row r="1044" spans="1:4">
      <c r="A1044" s="107">
        <v>2</v>
      </c>
      <c r="B1044" s="1324"/>
      <c r="C1044" t="s">
        <v>446</v>
      </c>
      <c r="D1044" s="224">
        <v>5866.2</v>
      </c>
    </row>
    <row r="1045" spans="1:4">
      <c r="A1045" s="107">
        <v>2</v>
      </c>
      <c r="B1045" s="1324"/>
      <c r="C1045" t="s">
        <v>1253</v>
      </c>
      <c r="D1045" s="224">
        <v>0</v>
      </c>
    </row>
    <row r="1046" spans="1:4">
      <c r="A1046" s="107">
        <v>2</v>
      </c>
      <c r="B1046" s="1324"/>
      <c r="C1046" t="s">
        <v>421</v>
      </c>
      <c r="D1046" s="224">
        <v>0</v>
      </c>
    </row>
    <row r="1047" spans="1:4">
      <c r="A1047" s="107">
        <v>10</v>
      </c>
      <c r="B1047" s="1323" t="s">
        <v>902</v>
      </c>
      <c r="C1047" t="s">
        <v>444</v>
      </c>
      <c r="D1047" s="224">
        <v>0</v>
      </c>
    </row>
    <row r="1048" spans="1:4">
      <c r="A1048" s="107">
        <v>10</v>
      </c>
      <c r="B1048" s="1324"/>
      <c r="C1048" t="s">
        <v>445</v>
      </c>
      <c r="D1048" s="224">
        <v>0</v>
      </c>
    </row>
    <row r="1049" spans="1:4">
      <c r="A1049" s="107">
        <v>10</v>
      </c>
      <c r="B1049" s="1324"/>
      <c r="C1049" t="s">
        <v>446</v>
      </c>
      <c r="D1049" s="224">
        <v>144607.29999999999</v>
      </c>
    </row>
    <row r="1050" spans="1:4">
      <c r="A1050" s="107">
        <v>10</v>
      </c>
      <c r="B1050" s="1324"/>
      <c r="C1050" t="s">
        <v>1253</v>
      </c>
      <c r="D1050" s="224">
        <v>0</v>
      </c>
    </row>
    <row r="1051" spans="1:4">
      <c r="A1051" s="107">
        <v>10</v>
      </c>
      <c r="B1051" s="1324"/>
      <c r="C1051" t="s">
        <v>421</v>
      </c>
      <c r="D1051" s="224">
        <v>0</v>
      </c>
    </row>
    <row r="1052" spans="1:4" ht="12.75" customHeight="1">
      <c r="A1052" s="107">
        <v>2</v>
      </c>
      <c r="B1052" s="1323" t="s">
        <v>903</v>
      </c>
      <c r="C1052" t="s">
        <v>444</v>
      </c>
      <c r="D1052" s="224">
        <v>0</v>
      </c>
    </row>
    <row r="1053" spans="1:4">
      <c r="A1053" s="107">
        <v>2</v>
      </c>
      <c r="B1053" s="1324"/>
      <c r="C1053" t="s">
        <v>445</v>
      </c>
      <c r="D1053" s="224">
        <v>0</v>
      </c>
    </row>
    <row r="1054" spans="1:4">
      <c r="A1054" s="107">
        <v>2</v>
      </c>
      <c r="B1054" s="1324"/>
      <c r="C1054" t="s">
        <v>446</v>
      </c>
      <c r="D1054" s="224">
        <v>11075.5</v>
      </c>
    </row>
    <row r="1055" spans="1:4">
      <c r="A1055" s="107">
        <v>2</v>
      </c>
      <c r="B1055" s="1324"/>
      <c r="C1055" t="s">
        <v>1253</v>
      </c>
      <c r="D1055" s="224">
        <v>0</v>
      </c>
    </row>
    <row r="1056" spans="1:4">
      <c r="A1056" s="107">
        <v>2</v>
      </c>
      <c r="B1056" s="1324"/>
      <c r="C1056" t="s">
        <v>421</v>
      </c>
      <c r="D1056" s="224">
        <v>0</v>
      </c>
    </row>
    <row r="1057" spans="1:4">
      <c r="A1057" s="107">
        <v>2</v>
      </c>
      <c r="B1057" s="1323" t="s">
        <v>904</v>
      </c>
      <c r="C1057" t="s">
        <v>444</v>
      </c>
      <c r="D1057" s="224">
        <v>0</v>
      </c>
    </row>
    <row r="1058" spans="1:4">
      <c r="A1058" s="107">
        <v>2</v>
      </c>
      <c r="B1058" s="1324"/>
      <c r="C1058" t="s">
        <v>445</v>
      </c>
      <c r="D1058" s="224">
        <v>0</v>
      </c>
    </row>
    <row r="1059" spans="1:4">
      <c r="A1059" s="107">
        <v>2</v>
      </c>
      <c r="B1059" s="1324"/>
      <c r="C1059" t="s">
        <v>446</v>
      </c>
      <c r="D1059" s="224">
        <v>18124.3</v>
      </c>
    </row>
    <row r="1060" spans="1:4">
      <c r="A1060" s="107">
        <v>2</v>
      </c>
      <c r="B1060" s="1324"/>
      <c r="C1060" t="s">
        <v>1253</v>
      </c>
      <c r="D1060" s="224">
        <v>0</v>
      </c>
    </row>
    <row r="1061" spans="1:4">
      <c r="A1061" s="107">
        <v>2</v>
      </c>
      <c r="B1061" s="1324"/>
      <c r="C1061" t="s">
        <v>421</v>
      </c>
      <c r="D1061" s="224">
        <v>0</v>
      </c>
    </row>
    <row r="1062" spans="1:4">
      <c r="A1062" s="107">
        <v>2</v>
      </c>
      <c r="B1062" s="1323" t="s">
        <v>905</v>
      </c>
      <c r="C1062" t="s">
        <v>444</v>
      </c>
      <c r="D1062" s="224">
        <v>2447.9</v>
      </c>
    </row>
    <row r="1063" spans="1:4">
      <c r="A1063" s="107">
        <v>2</v>
      </c>
      <c r="B1063" s="1324"/>
      <c r="C1063" t="s">
        <v>445</v>
      </c>
      <c r="D1063" s="224">
        <v>0</v>
      </c>
    </row>
    <row r="1064" spans="1:4">
      <c r="A1064" s="107">
        <v>2</v>
      </c>
      <c r="B1064" s="1324"/>
      <c r="C1064" t="s">
        <v>446</v>
      </c>
      <c r="D1064" s="224">
        <v>29156.799999999999</v>
      </c>
    </row>
    <row r="1065" spans="1:4">
      <c r="A1065" s="107">
        <v>2</v>
      </c>
      <c r="B1065" s="1324"/>
      <c r="C1065" t="s">
        <v>1253</v>
      </c>
      <c r="D1065" s="224">
        <v>0</v>
      </c>
    </row>
    <row r="1066" spans="1:4">
      <c r="A1066" s="107">
        <v>2</v>
      </c>
      <c r="B1066" s="1325"/>
      <c r="C1066" t="s">
        <v>421</v>
      </c>
      <c r="D1066" s="224">
        <v>0</v>
      </c>
    </row>
    <row r="1067" spans="1:4">
      <c r="A1067" s="107">
        <v>10</v>
      </c>
      <c r="B1067" s="1323" t="s">
        <v>906</v>
      </c>
      <c r="C1067" t="s">
        <v>444</v>
      </c>
      <c r="D1067" s="224">
        <v>0</v>
      </c>
    </row>
    <row r="1068" spans="1:4">
      <c r="A1068" s="107">
        <v>10</v>
      </c>
      <c r="B1068" s="1324"/>
      <c r="C1068" t="s">
        <v>445</v>
      </c>
      <c r="D1068" s="224">
        <v>0</v>
      </c>
    </row>
    <row r="1069" spans="1:4">
      <c r="A1069" s="107">
        <v>10</v>
      </c>
      <c r="B1069" s="1324"/>
      <c r="C1069" t="s">
        <v>446</v>
      </c>
      <c r="D1069" s="224">
        <v>66794.399999999994</v>
      </c>
    </row>
    <row r="1070" spans="1:4">
      <c r="A1070" s="107">
        <v>10</v>
      </c>
      <c r="B1070" s="1324"/>
      <c r="C1070" t="s">
        <v>1253</v>
      </c>
      <c r="D1070" s="224">
        <v>0</v>
      </c>
    </row>
    <row r="1071" spans="1:4">
      <c r="A1071" s="107">
        <v>10</v>
      </c>
      <c r="B1071" s="1324"/>
      <c r="C1071" t="s">
        <v>421</v>
      </c>
      <c r="D1071" s="224">
        <v>0</v>
      </c>
    </row>
    <row r="1072" spans="1:4">
      <c r="A1072" s="107">
        <v>10</v>
      </c>
      <c r="B1072" s="1323" t="s">
        <v>907</v>
      </c>
      <c r="C1072" t="s">
        <v>444</v>
      </c>
      <c r="D1072" s="224">
        <v>0</v>
      </c>
    </row>
    <row r="1073" spans="1:4">
      <c r="A1073" s="107">
        <v>10</v>
      </c>
      <c r="B1073" s="1324"/>
      <c r="C1073" t="s">
        <v>445</v>
      </c>
      <c r="D1073" s="224">
        <v>0</v>
      </c>
    </row>
    <row r="1074" spans="1:4">
      <c r="A1074" s="107">
        <v>10</v>
      </c>
      <c r="B1074" s="1324"/>
      <c r="C1074" t="s">
        <v>446</v>
      </c>
      <c r="D1074" s="224">
        <v>168355.6</v>
      </c>
    </row>
    <row r="1075" spans="1:4">
      <c r="A1075" s="107">
        <v>10</v>
      </c>
      <c r="B1075" s="1324"/>
      <c r="C1075" t="s">
        <v>1253</v>
      </c>
      <c r="D1075" s="224">
        <v>0</v>
      </c>
    </row>
    <row r="1076" spans="1:4">
      <c r="A1076" s="107">
        <v>10</v>
      </c>
      <c r="B1076" s="1324"/>
      <c r="C1076" t="s">
        <v>421</v>
      </c>
      <c r="D1076" s="224">
        <v>0</v>
      </c>
    </row>
    <row r="1077" spans="1:4">
      <c r="A1077" s="107">
        <v>2</v>
      </c>
      <c r="B1077" s="1323" t="s">
        <v>908</v>
      </c>
      <c r="C1077" t="s">
        <v>444</v>
      </c>
      <c r="D1077" s="224">
        <v>0</v>
      </c>
    </row>
    <row r="1078" spans="1:4">
      <c r="A1078" s="107">
        <v>2</v>
      </c>
      <c r="B1078" s="1324"/>
      <c r="C1078" t="s">
        <v>445</v>
      </c>
      <c r="D1078" s="224">
        <v>0</v>
      </c>
    </row>
    <row r="1079" spans="1:4">
      <c r="A1079" s="107">
        <v>2</v>
      </c>
      <c r="B1079" s="1324"/>
      <c r="C1079" t="s">
        <v>446</v>
      </c>
      <c r="D1079" s="224">
        <v>45754.7</v>
      </c>
    </row>
    <row r="1080" spans="1:4">
      <c r="A1080" s="107">
        <v>2</v>
      </c>
      <c r="B1080" s="1324"/>
      <c r="C1080" t="s">
        <v>1253</v>
      </c>
      <c r="D1080" s="224">
        <v>0</v>
      </c>
    </row>
    <row r="1081" spans="1:4">
      <c r="A1081" s="107">
        <v>2</v>
      </c>
      <c r="B1081" s="1324"/>
      <c r="C1081" t="s">
        <v>421</v>
      </c>
      <c r="D1081" s="224">
        <v>0</v>
      </c>
    </row>
    <row r="1082" spans="1:4">
      <c r="A1082" s="107">
        <v>1</v>
      </c>
      <c r="B1082" s="1323" t="s">
        <v>1536</v>
      </c>
      <c r="C1082" t="s">
        <v>444</v>
      </c>
      <c r="D1082" s="224">
        <v>416</v>
      </c>
    </row>
    <row r="1083" spans="1:4">
      <c r="A1083" s="107">
        <v>1</v>
      </c>
      <c r="B1083" s="1324"/>
      <c r="C1083" t="s">
        <v>445</v>
      </c>
      <c r="D1083" s="224">
        <v>0</v>
      </c>
    </row>
    <row r="1084" spans="1:4">
      <c r="A1084" s="107">
        <v>1</v>
      </c>
      <c r="B1084" s="1324"/>
      <c r="C1084" t="s">
        <v>446</v>
      </c>
      <c r="D1084" s="224">
        <v>0</v>
      </c>
    </row>
    <row r="1085" spans="1:4">
      <c r="A1085" s="107">
        <v>1</v>
      </c>
      <c r="B1085" s="1324"/>
      <c r="C1085" t="s">
        <v>1253</v>
      </c>
      <c r="D1085" s="224">
        <v>0</v>
      </c>
    </row>
    <row r="1086" spans="1:4">
      <c r="A1086" s="107">
        <v>1</v>
      </c>
      <c r="B1086" s="1325"/>
      <c r="C1086" t="s">
        <v>421</v>
      </c>
      <c r="D1086" s="224">
        <v>0</v>
      </c>
    </row>
    <row r="1087" spans="1:4">
      <c r="A1087" s="107">
        <v>9</v>
      </c>
      <c r="B1087" s="1323" t="s">
        <v>1537</v>
      </c>
      <c r="C1087" t="s">
        <v>444</v>
      </c>
      <c r="D1087" s="224">
        <v>0</v>
      </c>
    </row>
    <row r="1088" spans="1:4">
      <c r="A1088" s="107">
        <v>9</v>
      </c>
      <c r="B1088" s="1324"/>
      <c r="C1088" t="s">
        <v>445</v>
      </c>
      <c r="D1088" s="224">
        <v>0</v>
      </c>
    </row>
    <row r="1089" spans="1:4">
      <c r="A1089" s="107">
        <v>9</v>
      </c>
      <c r="B1089" s="1324"/>
      <c r="C1089" t="s">
        <v>446</v>
      </c>
      <c r="D1089" s="224">
        <v>24957.4</v>
      </c>
    </row>
    <row r="1090" spans="1:4">
      <c r="A1090" s="107">
        <v>9</v>
      </c>
      <c r="B1090" s="1324"/>
      <c r="C1090" t="s">
        <v>1253</v>
      </c>
      <c r="D1090" s="224">
        <v>0</v>
      </c>
    </row>
    <row r="1091" spans="1:4">
      <c r="A1091" s="107">
        <v>9</v>
      </c>
      <c r="B1091" s="1324"/>
      <c r="C1091" t="s">
        <v>421</v>
      </c>
      <c r="D1091" s="224">
        <v>0</v>
      </c>
    </row>
    <row r="1092" spans="1:4">
      <c r="A1092" s="107">
        <v>1</v>
      </c>
      <c r="B1092" s="1324" t="s">
        <v>1538</v>
      </c>
      <c r="C1092" t="s">
        <v>444</v>
      </c>
      <c r="D1092" s="224">
        <v>3339.1</v>
      </c>
    </row>
    <row r="1093" spans="1:4">
      <c r="A1093" s="107">
        <v>1</v>
      </c>
      <c r="B1093" s="1324"/>
      <c r="C1093" t="s">
        <v>445</v>
      </c>
      <c r="D1093" s="224">
        <v>0</v>
      </c>
    </row>
    <row r="1094" spans="1:4">
      <c r="A1094" s="107">
        <v>1</v>
      </c>
      <c r="B1094" s="1324"/>
      <c r="C1094" t="s">
        <v>446</v>
      </c>
      <c r="D1094" s="224">
        <v>34301</v>
      </c>
    </row>
    <row r="1095" spans="1:4">
      <c r="A1095" s="107">
        <v>1</v>
      </c>
      <c r="B1095" s="1324"/>
      <c r="C1095" t="s">
        <v>1253</v>
      </c>
      <c r="D1095" s="224">
        <v>0</v>
      </c>
    </row>
    <row r="1096" spans="1:4">
      <c r="A1096" s="107">
        <v>1</v>
      </c>
      <c r="B1096" s="1324"/>
      <c r="C1096" t="s">
        <v>421</v>
      </c>
      <c r="D1096" s="224">
        <v>0</v>
      </c>
    </row>
    <row r="1097" spans="1:4">
      <c r="A1097" s="107">
        <v>2</v>
      </c>
      <c r="B1097" s="1324" t="s">
        <v>1539</v>
      </c>
      <c r="C1097" t="s">
        <v>444</v>
      </c>
      <c r="D1097" s="224">
        <v>0</v>
      </c>
    </row>
    <row r="1098" spans="1:4">
      <c r="A1098" s="107">
        <v>2</v>
      </c>
      <c r="B1098" s="1324"/>
      <c r="C1098" t="s">
        <v>445</v>
      </c>
      <c r="D1098" s="224">
        <v>0</v>
      </c>
    </row>
    <row r="1099" spans="1:4">
      <c r="A1099" s="107">
        <v>2</v>
      </c>
      <c r="B1099" s="1324"/>
      <c r="C1099" t="s">
        <v>446</v>
      </c>
      <c r="D1099" s="224">
        <v>1076.5999999999999</v>
      </c>
    </row>
    <row r="1100" spans="1:4">
      <c r="A1100" s="107">
        <v>2</v>
      </c>
      <c r="B1100" s="1324"/>
      <c r="C1100" t="s">
        <v>1253</v>
      </c>
      <c r="D1100" s="224">
        <v>0</v>
      </c>
    </row>
    <row r="1101" spans="1:4">
      <c r="A1101" s="107">
        <v>2</v>
      </c>
      <c r="B1101" s="1324"/>
      <c r="C1101" t="s">
        <v>421</v>
      </c>
      <c r="D1101" s="224">
        <v>0</v>
      </c>
    </row>
    <row r="1102" spans="1:4">
      <c r="A1102" s="107">
        <v>4</v>
      </c>
      <c r="B1102" s="1324" t="s">
        <v>1540</v>
      </c>
      <c r="C1102" t="s">
        <v>444</v>
      </c>
      <c r="D1102" s="224">
        <v>0</v>
      </c>
    </row>
    <row r="1103" spans="1:4">
      <c r="A1103" s="107">
        <v>4</v>
      </c>
      <c r="B1103" s="1324"/>
      <c r="C1103" t="s">
        <v>445</v>
      </c>
      <c r="D1103" s="224">
        <v>0</v>
      </c>
    </row>
    <row r="1104" spans="1:4">
      <c r="A1104" s="107">
        <v>4</v>
      </c>
      <c r="B1104" s="1324"/>
      <c r="C1104" t="s">
        <v>446</v>
      </c>
      <c r="D1104" s="224">
        <v>474.1</v>
      </c>
    </row>
    <row r="1105" spans="1:4">
      <c r="A1105" s="107">
        <v>4</v>
      </c>
      <c r="B1105" s="1324"/>
      <c r="C1105" t="s">
        <v>1253</v>
      </c>
      <c r="D1105" s="224">
        <v>0</v>
      </c>
    </row>
    <row r="1106" spans="1:4">
      <c r="A1106" s="107">
        <v>2</v>
      </c>
      <c r="B1106" s="1324"/>
      <c r="C1106" t="s">
        <v>421</v>
      </c>
      <c r="D1106" s="224">
        <v>0</v>
      </c>
    </row>
    <row r="1107" spans="1:4">
      <c r="A1107" s="107">
        <v>2</v>
      </c>
      <c r="B1107" s="1324" t="s">
        <v>1541</v>
      </c>
      <c r="C1107" t="s">
        <v>444</v>
      </c>
      <c r="D1107" s="224">
        <v>0</v>
      </c>
    </row>
    <row r="1108" spans="1:4">
      <c r="A1108" s="107">
        <v>2</v>
      </c>
      <c r="B1108" s="1324"/>
      <c r="C1108" t="s">
        <v>445</v>
      </c>
      <c r="D1108" s="224">
        <v>0</v>
      </c>
    </row>
    <row r="1109" spans="1:4">
      <c r="A1109" s="107">
        <v>2</v>
      </c>
      <c r="B1109" s="1324"/>
      <c r="C1109" t="s">
        <v>446</v>
      </c>
      <c r="D1109" s="224">
        <v>16373.5</v>
      </c>
    </row>
    <row r="1110" spans="1:4">
      <c r="A1110" s="107">
        <v>2</v>
      </c>
      <c r="B1110" s="1324"/>
      <c r="C1110" t="s">
        <v>1253</v>
      </c>
      <c r="D1110" s="224">
        <v>0</v>
      </c>
    </row>
    <row r="1111" spans="1:4">
      <c r="A1111" s="107">
        <v>2</v>
      </c>
      <c r="B1111" s="1324"/>
      <c r="C1111" t="s">
        <v>421</v>
      </c>
      <c r="D1111" s="224">
        <v>0</v>
      </c>
    </row>
    <row r="1112" spans="1:4">
      <c r="A1112" s="107">
        <v>2</v>
      </c>
      <c r="B1112" s="1324" t="s">
        <v>1542</v>
      </c>
      <c r="C1112" t="s">
        <v>444</v>
      </c>
      <c r="D1112" s="224">
        <v>0</v>
      </c>
    </row>
    <row r="1113" spans="1:4">
      <c r="A1113" s="107">
        <v>2</v>
      </c>
      <c r="B1113" s="1324"/>
      <c r="C1113" t="s">
        <v>445</v>
      </c>
      <c r="D1113" s="224">
        <v>0</v>
      </c>
    </row>
    <row r="1114" spans="1:4">
      <c r="A1114" s="107">
        <v>2</v>
      </c>
      <c r="B1114" s="1324"/>
      <c r="C1114" t="s">
        <v>446</v>
      </c>
      <c r="D1114" s="224">
        <v>4252.2</v>
      </c>
    </row>
    <row r="1115" spans="1:4">
      <c r="A1115" s="107">
        <v>2</v>
      </c>
      <c r="B1115" s="1324"/>
      <c r="C1115" t="s">
        <v>1253</v>
      </c>
      <c r="D1115" s="224">
        <v>0</v>
      </c>
    </row>
    <row r="1116" spans="1:4">
      <c r="A1116" s="107">
        <v>2</v>
      </c>
      <c r="B1116" s="1324"/>
      <c r="C1116" t="s">
        <v>421</v>
      </c>
      <c r="D1116" s="224">
        <v>0</v>
      </c>
    </row>
    <row r="1117" spans="1:4">
      <c r="A1117" s="107">
        <v>2</v>
      </c>
      <c r="B1117" s="1324" t="s">
        <v>1543</v>
      </c>
      <c r="C1117" t="s">
        <v>444</v>
      </c>
      <c r="D1117" s="224">
        <v>0</v>
      </c>
    </row>
    <row r="1118" spans="1:4">
      <c r="A1118" s="107">
        <v>2</v>
      </c>
      <c r="B1118" s="1324"/>
      <c r="C1118" t="s">
        <v>445</v>
      </c>
      <c r="D1118" s="224">
        <v>0</v>
      </c>
    </row>
    <row r="1119" spans="1:4">
      <c r="A1119" s="107">
        <v>2</v>
      </c>
      <c r="B1119" s="1324"/>
      <c r="C1119" t="s">
        <v>446</v>
      </c>
      <c r="D1119" s="224">
        <v>1000</v>
      </c>
    </row>
    <row r="1120" spans="1:4">
      <c r="A1120" s="107">
        <v>2</v>
      </c>
      <c r="B1120" s="1324"/>
      <c r="C1120" t="s">
        <v>1253</v>
      </c>
      <c r="D1120" s="224">
        <v>0</v>
      </c>
    </row>
    <row r="1121" spans="1:4">
      <c r="A1121" s="107">
        <v>2</v>
      </c>
      <c r="B1121" s="1324"/>
      <c r="C1121" t="s">
        <v>421</v>
      </c>
      <c r="D1121" s="224">
        <v>0</v>
      </c>
    </row>
    <row r="1122" spans="1:4">
      <c r="A1122" s="107">
        <v>2</v>
      </c>
      <c r="B1122" s="1324" t="s">
        <v>1544</v>
      </c>
      <c r="C1122" t="s">
        <v>444</v>
      </c>
      <c r="D1122" s="224">
        <v>0</v>
      </c>
    </row>
    <row r="1123" spans="1:4">
      <c r="A1123" s="107">
        <v>2</v>
      </c>
      <c r="B1123" s="1324"/>
      <c r="C1123" t="s">
        <v>445</v>
      </c>
      <c r="D1123" s="224">
        <v>0</v>
      </c>
    </row>
    <row r="1124" spans="1:4">
      <c r="A1124" s="107">
        <v>2</v>
      </c>
      <c r="B1124" s="1324"/>
      <c r="C1124" t="s">
        <v>446</v>
      </c>
      <c r="D1124" s="224">
        <v>3495</v>
      </c>
    </row>
    <row r="1125" spans="1:4">
      <c r="A1125" s="107">
        <v>2</v>
      </c>
      <c r="B1125" s="1324"/>
      <c r="C1125" t="s">
        <v>1253</v>
      </c>
      <c r="D1125" s="224">
        <v>0</v>
      </c>
    </row>
    <row r="1126" spans="1:4">
      <c r="A1126" s="107">
        <v>2</v>
      </c>
      <c r="B1126" s="1325"/>
      <c r="C1126" t="s">
        <v>421</v>
      </c>
      <c r="D1126" s="224">
        <v>0</v>
      </c>
    </row>
    <row r="1127" spans="1:4">
      <c r="A1127" s="107">
        <v>2</v>
      </c>
      <c r="B1127" s="1323" t="s">
        <v>909</v>
      </c>
      <c r="C1127" t="s">
        <v>444</v>
      </c>
      <c r="D1127" s="113">
        <v>0</v>
      </c>
    </row>
    <row r="1128" spans="1:4">
      <c r="A1128" s="107">
        <v>2</v>
      </c>
      <c r="B1128" s="1324"/>
      <c r="C1128" t="s">
        <v>445</v>
      </c>
      <c r="D1128" s="113">
        <v>0</v>
      </c>
    </row>
    <row r="1129" spans="1:4">
      <c r="A1129" s="107">
        <v>2</v>
      </c>
      <c r="B1129" s="1324"/>
      <c r="C1129" t="s">
        <v>446</v>
      </c>
      <c r="D1129" s="113">
        <v>33858.800000000003</v>
      </c>
    </row>
    <row r="1130" spans="1:4">
      <c r="A1130" s="107">
        <v>2</v>
      </c>
      <c r="B1130" s="1324"/>
      <c r="C1130" t="s">
        <v>1253</v>
      </c>
      <c r="D1130" s="113">
        <v>0</v>
      </c>
    </row>
    <row r="1131" spans="1:4">
      <c r="A1131" s="107">
        <v>2</v>
      </c>
      <c r="B1131" s="1324"/>
      <c r="C1131" t="s">
        <v>421</v>
      </c>
      <c r="D1131" s="113">
        <v>0</v>
      </c>
    </row>
    <row r="1132" spans="1:4">
      <c r="A1132" s="107">
        <v>2</v>
      </c>
      <c r="B1132" s="1323" t="s">
        <v>910</v>
      </c>
      <c r="C1132" t="s">
        <v>444</v>
      </c>
      <c r="D1132" s="113">
        <v>0</v>
      </c>
    </row>
    <row r="1133" spans="1:4">
      <c r="A1133" s="107">
        <v>2</v>
      </c>
      <c r="B1133" s="1324"/>
      <c r="C1133" t="s">
        <v>445</v>
      </c>
      <c r="D1133" s="113">
        <v>0</v>
      </c>
    </row>
    <row r="1134" spans="1:4">
      <c r="A1134" s="107">
        <v>2</v>
      </c>
      <c r="B1134" s="1324"/>
      <c r="C1134" t="s">
        <v>446</v>
      </c>
      <c r="D1134" s="113">
        <v>36324.199999999997</v>
      </c>
    </row>
    <row r="1135" spans="1:4">
      <c r="A1135" s="107">
        <v>2</v>
      </c>
      <c r="B1135" s="1324"/>
      <c r="C1135" t="s">
        <v>1253</v>
      </c>
      <c r="D1135" s="113">
        <v>0</v>
      </c>
    </row>
    <row r="1136" spans="1:4">
      <c r="A1136" s="107">
        <v>2</v>
      </c>
      <c r="B1136" s="1324"/>
      <c r="C1136" t="s">
        <v>421</v>
      </c>
      <c r="D1136" s="113">
        <v>0</v>
      </c>
    </row>
    <row r="1137" spans="1:4">
      <c r="A1137" s="107">
        <v>2</v>
      </c>
      <c r="B1137" s="1323" t="s">
        <v>911</v>
      </c>
      <c r="C1137" t="s">
        <v>444</v>
      </c>
      <c r="D1137" s="113">
        <v>0</v>
      </c>
    </row>
    <row r="1138" spans="1:4">
      <c r="A1138" s="107">
        <v>2</v>
      </c>
      <c r="B1138" s="1324"/>
      <c r="C1138" t="s">
        <v>445</v>
      </c>
      <c r="D1138" s="113">
        <v>0</v>
      </c>
    </row>
    <row r="1139" spans="1:4">
      <c r="A1139" s="107">
        <v>2</v>
      </c>
      <c r="B1139" s="1324"/>
      <c r="C1139" t="s">
        <v>446</v>
      </c>
      <c r="D1139" s="113">
        <v>64411.1</v>
      </c>
    </row>
    <row r="1140" spans="1:4">
      <c r="A1140" s="107">
        <v>2</v>
      </c>
      <c r="B1140" s="1324"/>
      <c r="C1140" t="s">
        <v>1253</v>
      </c>
      <c r="D1140" s="113">
        <v>0</v>
      </c>
    </row>
    <row r="1141" spans="1:4">
      <c r="A1141" s="107">
        <v>2</v>
      </c>
      <c r="B1141" s="1324"/>
      <c r="C1141" t="s">
        <v>421</v>
      </c>
      <c r="D1141" s="113">
        <v>0</v>
      </c>
    </row>
    <row r="1142" spans="1:4">
      <c r="A1142" s="107">
        <v>2</v>
      </c>
      <c r="B1142" s="1323" t="s">
        <v>912</v>
      </c>
      <c r="C1142" t="s">
        <v>444</v>
      </c>
      <c r="D1142" s="113">
        <v>0</v>
      </c>
    </row>
    <row r="1143" spans="1:4">
      <c r="A1143" s="107">
        <v>2</v>
      </c>
      <c r="B1143" s="1324"/>
      <c r="C1143" t="s">
        <v>445</v>
      </c>
      <c r="D1143" s="113">
        <v>0</v>
      </c>
    </row>
    <row r="1144" spans="1:4">
      <c r="A1144" s="107">
        <v>2</v>
      </c>
      <c r="B1144" s="1324"/>
      <c r="C1144" t="s">
        <v>446</v>
      </c>
      <c r="D1144" s="113">
        <v>38150.199999999997</v>
      </c>
    </row>
    <row r="1145" spans="1:4">
      <c r="A1145" s="107">
        <v>2</v>
      </c>
      <c r="B1145" s="1324"/>
      <c r="C1145" t="s">
        <v>1253</v>
      </c>
      <c r="D1145" s="113">
        <v>0</v>
      </c>
    </row>
    <row r="1146" spans="1:4">
      <c r="A1146" s="107">
        <v>2</v>
      </c>
      <c r="B1146" s="1324"/>
      <c r="C1146" t="s">
        <v>421</v>
      </c>
      <c r="D1146" s="113">
        <v>0</v>
      </c>
    </row>
    <row r="1147" spans="1:4">
      <c r="A1147" s="107">
        <v>2</v>
      </c>
      <c r="B1147" s="1323" t="s">
        <v>913</v>
      </c>
      <c r="C1147" t="s">
        <v>444</v>
      </c>
      <c r="D1147" s="113">
        <v>0</v>
      </c>
    </row>
    <row r="1148" spans="1:4">
      <c r="A1148" s="107">
        <v>2</v>
      </c>
      <c r="B1148" s="1324"/>
      <c r="C1148" t="s">
        <v>445</v>
      </c>
      <c r="D1148" s="113">
        <v>0</v>
      </c>
    </row>
    <row r="1149" spans="1:4">
      <c r="A1149" s="107">
        <v>2</v>
      </c>
      <c r="B1149" s="1324"/>
      <c r="C1149" t="s">
        <v>446</v>
      </c>
      <c r="D1149" s="113">
        <v>28929.7</v>
      </c>
    </row>
    <row r="1150" spans="1:4">
      <c r="A1150" s="107">
        <v>2</v>
      </c>
      <c r="B1150" s="1324"/>
      <c r="C1150" t="s">
        <v>1253</v>
      </c>
      <c r="D1150" s="113">
        <v>0</v>
      </c>
    </row>
    <row r="1151" spans="1:4">
      <c r="A1151" s="107">
        <v>2</v>
      </c>
      <c r="B1151" s="1324"/>
      <c r="C1151" t="s">
        <v>421</v>
      </c>
      <c r="D1151" s="113">
        <v>0</v>
      </c>
    </row>
    <row r="1152" spans="1:4">
      <c r="A1152" s="107">
        <v>2</v>
      </c>
      <c r="B1152" s="1323" t="s">
        <v>914</v>
      </c>
      <c r="C1152" t="s">
        <v>444</v>
      </c>
      <c r="D1152" s="113">
        <v>0</v>
      </c>
    </row>
    <row r="1153" spans="1:4">
      <c r="A1153" s="107">
        <v>2</v>
      </c>
      <c r="B1153" s="1324"/>
      <c r="C1153" t="s">
        <v>445</v>
      </c>
      <c r="D1153" s="113">
        <v>0</v>
      </c>
    </row>
    <row r="1154" spans="1:4">
      <c r="A1154" s="107">
        <v>2</v>
      </c>
      <c r="B1154" s="1324"/>
      <c r="C1154" t="s">
        <v>446</v>
      </c>
      <c r="D1154" s="113">
        <v>30179</v>
      </c>
    </row>
    <row r="1155" spans="1:4">
      <c r="A1155" s="107">
        <v>2</v>
      </c>
      <c r="B1155" s="1324"/>
      <c r="C1155" t="s">
        <v>1253</v>
      </c>
      <c r="D1155" s="113">
        <v>0</v>
      </c>
    </row>
    <row r="1156" spans="1:4">
      <c r="A1156" s="107">
        <v>2</v>
      </c>
      <c r="B1156" s="1324"/>
      <c r="C1156" t="s">
        <v>421</v>
      </c>
      <c r="D1156" s="113">
        <v>0</v>
      </c>
    </row>
    <row r="1157" spans="1:4">
      <c r="A1157" s="107">
        <v>1</v>
      </c>
      <c r="B1157" s="1323" t="s">
        <v>915</v>
      </c>
      <c r="C1157" t="s">
        <v>444</v>
      </c>
      <c r="D1157" s="113">
        <v>412400</v>
      </c>
    </row>
    <row r="1158" spans="1:4">
      <c r="A1158" s="107">
        <v>1</v>
      </c>
      <c r="B1158" s="1324"/>
      <c r="C1158" t="s">
        <v>445</v>
      </c>
      <c r="D1158" s="113">
        <v>3950</v>
      </c>
    </row>
    <row r="1159" spans="1:4">
      <c r="A1159" s="107">
        <v>1</v>
      </c>
      <c r="B1159" s="1324"/>
      <c r="C1159" t="s">
        <v>446</v>
      </c>
      <c r="D1159" s="113">
        <v>53423.7</v>
      </c>
    </row>
    <row r="1160" spans="1:4">
      <c r="A1160" s="107">
        <v>1</v>
      </c>
      <c r="B1160" s="1324"/>
      <c r="C1160" t="s">
        <v>1253</v>
      </c>
      <c r="D1160" s="113">
        <v>0</v>
      </c>
    </row>
    <row r="1161" spans="1:4">
      <c r="A1161" s="107">
        <v>1</v>
      </c>
      <c r="B1161" s="1324"/>
      <c r="C1161" t="s">
        <v>421</v>
      </c>
      <c r="D1161" s="113">
        <v>2181.6999999999998</v>
      </c>
    </row>
    <row r="1162" spans="1:4">
      <c r="A1162" s="107">
        <v>11</v>
      </c>
      <c r="B1162" s="1323" t="s">
        <v>916</v>
      </c>
      <c r="C1162" t="s">
        <v>444</v>
      </c>
      <c r="D1162" s="113">
        <v>505658.5</v>
      </c>
    </row>
    <row r="1163" spans="1:4">
      <c r="A1163" s="107">
        <v>11</v>
      </c>
      <c r="B1163" s="1324"/>
      <c r="C1163" t="s">
        <v>445</v>
      </c>
      <c r="D1163" s="113">
        <v>296069.3</v>
      </c>
    </row>
    <row r="1164" spans="1:4">
      <c r="A1164" s="107">
        <v>11</v>
      </c>
      <c r="B1164" s="1324"/>
      <c r="C1164" t="s">
        <v>446</v>
      </c>
      <c r="D1164" s="113">
        <v>0</v>
      </c>
    </row>
    <row r="1165" spans="1:4">
      <c r="A1165" s="107">
        <v>11</v>
      </c>
      <c r="B1165" s="1324"/>
      <c r="C1165" t="s">
        <v>1253</v>
      </c>
      <c r="D1165" s="113">
        <v>0</v>
      </c>
    </row>
    <row r="1166" spans="1:4">
      <c r="A1166" s="107">
        <v>11</v>
      </c>
      <c r="B1166" s="1324"/>
      <c r="C1166" t="s">
        <v>421</v>
      </c>
      <c r="D1166" s="113">
        <v>0</v>
      </c>
    </row>
    <row r="1167" spans="1:4">
      <c r="A1167" s="107">
        <v>1</v>
      </c>
      <c r="B1167" s="1323" t="s">
        <v>917</v>
      </c>
      <c r="C1167" t="s">
        <v>444</v>
      </c>
      <c r="D1167" s="113">
        <v>1220237</v>
      </c>
    </row>
    <row r="1168" spans="1:4">
      <c r="A1168" s="107">
        <v>1</v>
      </c>
      <c r="B1168" s="1324"/>
      <c r="C1168" t="s">
        <v>445</v>
      </c>
      <c r="D1168" s="113">
        <v>109881.8</v>
      </c>
    </row>
    <row r="1169" spans="1:4">
      <c r="A1169" s="107">
        <v>1</v>
      </c>
      <c r="B1169" s="1324"/>
      <c r="C1169" t="s">
        <v>446</v>
      </c>
      <c r="D1169" s="113">
        <v>124516.9</v>
      </c>
    </row>
    <row r="1170" spans="1:4">
      <c r="A1170" s="107">
        <v>1</v>
      </c>
      <c r="B1170" s="1324"/>
      <c r="C1170" t="s">
        <v>1253</v>
      </c>
      <c r="D1170" s="113">
        <v>0</v>
      </c>
    </row>
    <row r="1171" spans="1:4">
      <c r="A1171" s="107">
        <v>1</v>
      </c>
      <c r="B1171" s="1324"/>
      <c r="C1171" t="s">
        <v>421</v>
      </c>
      <c r="D1171" s="113">
        <v>2186</v>
      </c>
    </row>
    <row r="1172" spans="1:4">
      <c r="A1172" s="107">
        <v>9</v>
      </c>
      <c r="B1172" s="1323" t="s">
        <v>918</v>
      </c>
      <c r="C1172" t="s">
        <v>444</v>
      </c>
      <c r="D1172" s="113">
        <v>117602.6</v>
      </c>
    </row>
    <row r="1173" spans="1:4">
      <c r="A1173" s="107">
        <v>9</v>
      </c>
      <c r="B1173" s="1324"/>
      <c r="C1173" t="s">
        <v>445</v>
      </c>
      <c r="D1173" s="113">
        <v>14600</v>
      </c>
    </row>
    <row r="1174" spans="1:4">
      <c r="A1174" s="107">
        <v>9</v>
      </c>
      <c r="B1174" s="1324"/>
      <c r="C1174" t="s">
        <v>446</v>
      </c>
      <c r="D1174" s="113">
        <v>47479.3</v>
      </c>
    </row>
    <row r="1175" spans="1:4">
      <c r="A1175" s="107">
        <v>9</v>
      </c>
      <c r="B1175" s="1324"/>
      <c r="C1175" t="s">
        <v>1253</v>
      </c>
      <c r="D1175" s="113">
        <v>0</v>
      </c>
    </row>
    <row r="1176" spans="1:4">
      <c r="A1176" s="107">
        <v>9</v>
      </c>
      <c r="B1176" s="1324"/>
      <c r="C1176" t="s">
        <v>421</v>
      </c>
      <c r="D1176" s="113">
        <v>6099.4</v>
      </c>
    </row>
    <row r="1177" spans="1:4">
      <c r="A1177" s="107">
        <v>3</v>
      </c>
      <c r="B1177" s="1323" t="s">
        <v>919</v>
      </c>
      <c r="C1177" t="s">
        <v>444</v>
      </c>
      <c r="D1177" s="113">
        <v>59242.400000000001</v>
      </c>
    </row>
    <row r="1178" spans="1:4">
      <c r="A1178" s="107">
        <v>3</v>
      </c>
      <c r="B1178" s="1324"/>
      <c r="C1178" t="s">
        <v>445</v>
      </c>
      <c r="D1178" s="113">
        <v>0</v>
      </c>
    </row>
    <row r="1179" spans="1:4">
      <c r="A1179" s="107">
        <v>3</v>
      </c>
      <c r="B1179" s="1324"/>
      <c r="C1179" t="s">
        <v>446</v>
      </c>
      <c r="D1179" s="113">
        <v>7757.6</v>
      </c>
    </row>
    <row r="1180" spans="1:4">
      <c r="A1180" s="107">
        <v>3</v>
      </c>
      <c r="B1180" s="1324"/>
      <c r="C1180" t="s">
        <v>1253</v>
      </c>
      <c r="D1180" s="113">
        <v>0</v>
      </c>
    </row>
    <row r="1181" spans="1:4">
      <c r="A1181" s="107">
        <v>3</v>
      </c>
      <c r="B1181" s="1324"/>
      <c r="C1181" t="s">
        <v>421</v>
      </c>
      <c r="D1181" s="113">
        <v>0</v>
      </c>
    </row>
    <row r="1182" spans="1:4">
      <c r="A1182" s="107">
        <v>1</v>
      </c>
      <c r="B1182" s="1323" t="s">
        <v>920</v>
      </c>
      <c r="C1182" t="s">
        <v>444</v>
      </c>
      <c r="D1182" s="113">
        <v>98687.2</v>
      </c>
    </row>
    <row r="1183" spans="1:4">
      <c r="A1183" s="107">
        <v>1</v>
      </c>
      <c r="B1183" s="1324"/>
      <c r="C1183" t="s">
        <v>445</v>
      </c>
      <c r="D1183" s="113">
        <v>4498.5</v>
      </c>
    </row>
    <row r="1184" spans="1:4">
      <c r="A1184" s="107">
        <v>1</v>
      </c>
      <c r="B1184" s="1324"/>
      <c r="C1184" t="s">
        <v>446</v>
      </c>
      <c r="D1184" s="113">
        <v>46571.199999999997</v>
      </c>
    </row>
    <row r="1185" spans="1:4">
      <c r="A1185" s="107">
        <v>1</v>
      </c>
      <c r="B1185" s="1324"/>
      <c r="C1185" t="s">
        <v>1253</v>
      </c>
      <c r="D1185" s="113">
        <v>0</v>
      </c>
    </row>
    <row r="1186" spans="1:4">
      <c r="A1186" s="107">
        <v>1</v>
      </c>
      <c r="B1186" s="1324"/>
      <c r="C1186" t="s">
        <v>421</v>
      </c>
      <c r="D1186" s="113">
        <v>0</v>
      </c>
    </row>
    <row r="1187" spans="1:4">
      <c r="A1187" s="107">
        <v>4</v>
      </c>
      <c r="B1187" s="1323" t="s">
        <v>921</v>
      </c>
      <c r="C1187" t="s">
        <v>444</v>
      </c>
      <c r="D1187" s="113">
        <v>945009.3</v>
      </c>
    </row>
    <row r="1188" spans="1:4">
      <c r="A1188" s="107">
        <v>4</v>
      </c>
      <c r="B1188" s="1324"/>
      <c r="C1188" t="s">
        <v>445</v>
      </c>
      <c r="D1188" s="113">
        <v>14830</v>
      </c>
    </row>
    <row r="1189" spans="1:4">
      <c r="A1189" s="107">
        <v>4</v>
      </c>
      <c r="B1189" s="1324"/>
      <c r="C1189" t="s">
        <v>446</v>
      </c>
      <c r="D1189" s="113">
        <v>77000</v>
      </c>
    </row>
    <row r="1190" spans="1:4">
      <c r="A1190" s="107">
        <v>4</v>
      </c>
      <c r="B1190" s="1324"/>
      <c r="C1190" t="s">
        <v>1253</v>
      </c>
      <c r="D1190" s="113">
        <v>0</v>
      </c>
    </row>
    <row r="1191" spans="1:4">
      <c r="A1191" s="107">
        <v>4</v>
      </c>
      <c r="B1191" s="1324"/>
      <c r="C1191" t="s">
        <v>421</v>
      </c>
      <c r="D1191" s="113">
        <v>0</v>
      </c>
    </row>
    <row r="1192" spans="1:4">
      <c r="A1192" s="107">
        <v>4</v>
      </c>
      <c r="B1192" s="1323" t="s">
        <v>922</v>
      </c>
      <c r="C1192" t="s">
        <v>444</v>
      </c>
      <c r="D1192" s="113">
        <v>293301.5</v>
      </c>
    </row>
    <row r="1193" spans="1:4">
      <c r="A1193" s="107">
        <v>4</v>
      </c>
      <c r="B1193" s="1324"/>
      <c r="C1193" t="s">
        <v>445</v>
      </c>
      <c r="D1193" s="113">
        <v>0</v>
      </c>
    </row>
    <row r="1194" spans="1:4">
      <c r="A1194" s="107">
        <v>4</v>
      </c>
      <c r="B1194" s="1324"/>
      <c r="C1194" t="s">
        <v>446</v>
      </c>
      <c r="D1194" s="113">
        <v>27000</v>
      </c>
    </row>
    <row r="1195" spans="1:4">
      <c r="A1195" s="107">
        <v>4</v>
      </c>
      <c r="B1195" s="1324"/>
      <c r="C1195" t="s">
        <v>1253</v>
      </c>
      <c r="D1195" s="113">
        <v>0</v>
      </c>
    </row>
    <row r="1196" spans="1:4">
      <c r="A1196" s="107">
        <v>4</v>
      </c>
      <c r="B1196" s="1324"/>
      <c r="C1196" t="s">
        <v>421</v>
      </c>
      <c r="D1196" s="113">
        <v>2182</v>
      </c>
    </row>
    <row r="1197" spans="1:4">
      <c r="A1197" s="107">
        <v>2</v>
      </c>
      <c r="B1197" s="1323" t="s">
        <v>923</v>
      </c>
      <c r="C1197" t="s">
        <v>444</v>
      </c>
      <c r="D1197" s="113">
        <v>12117</v>
      </c>
    </row>
    <row r="1198" spans="1:4">
      <c r="A1198" s="107">
        <v>2</v>
      </c>
      <c r="B1198" s="1324"/>
      <c r="C1198" t="s">
        <v>445</v>
      </c>
      <c r="D1198" s="113">
        <v>9800</v>
      </c>
    </row>
    <row r="1199" spans="1:4">
      <c r="A1199" s="107">
        <v>2</v>
      </c>
      <c r="B1199" s="1324"/>
      <c r="C1199" t="s">
        <v>446</v>
      </c>
      <c r="D1199" s="113">
        <v>46072.4</v>
      </c>
    </row>
    <row r="1200" spans="1:4">
      <c r="A1200" s="107">
        <v>2</v>
      </c>
      <c r="B1200" s="1324"/>
      <c r="C1200" t="s">
        <v>1253</v>
      </c>
      <c r="D1200" s="113">
        <v>0</v>
      </c>
    </row>
    <row r="1201" spans="1:4">
      <c r="A1201" s="107">
        <v>2</v>
      </c>
      <c r="B1201" s="1324"/>
      <c r="C1201" t="s">
        <v>421</v>
      </c>
      <c r="D1201" s="113">
        <v>0</v>
      </c>
    </row>
    <row r="1202" spans="1:4">
      <c r="A1202" s="107">
        <v>2</v>
      </c>
      <c r="B1202" s="1323" t="s">
        <v>924</v>
      </c>
      <c r="C1202" t="s">
        <v>444</v>
      </c>
      <c r="D1202" s="113">
        <v>0</v>
      </c>
    </row>
    <row r="1203" spans="1:4">
      <c r="A1203" s="107">
        <v>2</v>
      </c>
      <c r="B1203" s="1324"/>
      <c r="C1203" t="s">
        <v>445</v>
      </c>
      <c r="D1203" s="113">
        <v>0</v>
      </c>
    </row>
    <row r="1204" spans="1:4">
      <c r="A1204" s="107">
        <v>2</v>
      </c>
      <c r="B1204" s="1324"/>
      <c r="C1204" t="s">
        <v>446</v>
      </c>
      <c r="D1204" s="113">
        <v>12787.3</v>
      </c>
    </row>
    <row r="1205" spans="1:4">
      <c r="A1205" s="107">
        <v>2</v>
      </c>
      <c r="B1205" s="1324"/>
      <c r="C1205" t="s">
        <v>1253</v>
      </c>
      <c r="D1205" s="113">
        <v>0</v>
      </c>
    </row>
    <row r="1206" spans="1:4">
      <c r="A1206" s="107">
        <v>2</v>
      </c>
      <c r="B1206" s="1324"/>
      <c r="C1206" t="s">
        <v>421</v>
      </c>
      <c r="D1206" s="113">
        <v>0</v>
      </c>
    </row>
    <row r="1207" spans="1:4">
      <c r="A1207" s="107">
        <v>1</v>
      </c>
      <c r="B1207" s="1324" t="s">
        <v>1545</v>
      </c>
      <c r="C1207" t="s">
        <v>444</v>
      </c>
      <c r="D1207" s="113">
        <v>16279.2</v>
      </c>
    </row>
    <row r="1208" spans="1:4">
      <c r="A1208" s="107">
        <v>1</v>
      </c>
      <c r="B1208" s="1324"/>
      <c r="C1208" t="s">
        <v>445</v>
      </c>
      <c r="D1208" s="113">
        <v>3000</v>
      </c>
    </row>
    <row r="1209" spans="1:4">
      <c r="A1209" s="107">
        <v>1</v>
      </c>
      <c r="B1209" s="1324"/>
      <c r="C1209" t="s">
        <v>446</v>
      </c>
      <c r="D1209" s="113">
        <v>0</v>
      </c>
    </row>
    <row r="1210" spans="1:4">
      <c r="A1210" s="107">
        <v>1</v>
      </c>
      <c r="B1210" s="1324"/>
      <c r="C1210" t="s">
        <v>1253</v>
      </c>
      <c r="D1210" s="113">
        <v>0</v>
      </c>
    </row>
    <row r="1211" spans="1:4">
      <c r="A1211" s="107">
        <v>1</v>
      </c>
      <c r="B1211" s="1324"/>
      <c r="C1211" t="s">
        <v>421</v>
      </c>
      <c r="D1211" s="113">
        <v>0</v>
      </c>
    </row>
    <row r="1212" spans="1:4">
      <c r="A1212" s="107">
        <v>2</v>
      </c>
      <c r="B1212" s="1324" t="s">
        <v>1546</v>
      </c>
      <c r="C1212" t="s">
        <v>444</v>
      </c>
      <c r="D1212" s="113">
        <v>0</v>
      </c>
    </row>
    <row r="1213" spans="1:4">
      <c r="A1213" s="107">
        <v>2</v>
      </c>
      <c r="B1213" s="1324"/>
      <c r="C1213" t="s">
        <v>445</v>
      </c>
      <c r="D1213" s="113">
        <v>0</v>
      </c>
    </row>
    <row r="1214" spans="1:4">
      <c r="A1214" s="107">
        <v>2</v>
      </c>
      <c r="B1214" s="1324"/>
      <c r="C1214" t="s">
        <v>446</v>
      </c>
      <c r="D1214" s="113">
        <v>20674.3</v>
      </c>
    </row>
    <row r="1215" spans="1:4">
      <c r="A1215" s="107">
        <v>2</v>
      </c>
      <c r="B1215" s="1324"/>
      <c r="C1215" t="s">
        <v>1253</v>
      </c>
      <c r="D1215" s="113">
        <v>0</v>
      </c>
    </row>
    <row r="1216" spans="1:4">
      <c r="A1216" s="107">
        <v>2</v>
      </c>
      <c r="B1216" s="1324"/>
      <c r="C1216" t="s">
        <v>421</v>
      </c>
      <c r="D1216" s="113">
        <v>0</v>
      </c>
    </row>
    <row r="1217" spans="1:4">
      <c r="A1217" s="107">
        <v>2</v>
      </c>
      <c r="B1217" s="1324" t="s">
        <v>1547</v>
      </c>
      <c r="C1217" t="s">
        <v>444</v>
      </c>
      <c r="D1217" s="113">
        <v>5410</v>
      </c>
    </row>
    <row r="1218" spans="1:4">
      <c r="A1218" s="107">
        <v>2</v>
      </c>
      <c r="B1218" s="1324"/>
      <c r="C1218" t="s">
        <v>445</v>
      </c>
      <c r="D1218" s="113">
        <v>0</v>
      </c>
    </row>
    <row r="1219" spans="1:4">
      <c r="A1219" s="107">
        <v>2</v>
      </c>
      <c r="B1219" s="1324"/>
      <c r="C1219" t="s">
        <v>446</v>
      </c>
      <c r="D1219" s="113">
        <v>75492.800000000003</v>
      </c>
    </row>
    <row r="1220" spans="1:4">
      <c r="A1220" s="107">
        <v>2</v>
      </c>
      <c r="B1220" s="1324"/>
      <c r="C1220" t="s">
        <v>1253</v>
      </c>
      <c r="D1220" s="113">
        <v>0</v>
      </c>
    </row>
    <row r="1221" spans="1:4">
      <c r="A1221" s="107">
        <v>2</v>
      </c>
      <c r="B1221" s="1325"/>
      <c r="C1221" t="s">
        <v>421</v>
      </c>
      <c r="D1221" s="113">
        <v>0</v>
      </c>
    </row>
    <row r="1222" spans="1:4">
      <c r="A1222" s="107">
        <v>1</v>
      </c>
      <c r="B1222" s="1323" t="s">
        <v>925</v>
      </c>
      <c r="C1222" t="s">
        <v>444</v>
      </c>
      <c r="D1222" s="113">
        <v>254825.9</v>
      </c>
    </row>
    <row r="1223" spans="1:4">
      <c r="A1223" s="107">
        <v>1</v>
      </c>
      <c r="B1223" s="1324"/>
      <c r="C1223" t="s">
        <v>445</v>
      </c>
      <c r="D1223" s="113">
        <v>0</v>
      </c>
    </row>
    <row r="1224" spans="1:4">
      <c r="A1224" s="107">
        <v>1</v>
      </c>
      <c r="B1224" s="1324"/>
      <c r="C1224" t="s">
        <v>446</v>
      </c>
      <c r="D1224" s="113">
        <v>39466.199999999997</v>
      </c>
    </row>
    <row r="1225" spans="1:4">
      <c r="A1225" s="107">
        <v>1</v>
      </c>
      <c r="B1225" s="1324"/>
      <c r="C1225" t="s">
        <v>1253</v>
      </c>
      <c r="D1225" s="113">
        <v>0</v>
      </c>
    </row>
    <row r="1226" spans="1:4">
      <c r="A1226" s="107">
        <v>1</v>
      </c>
      <c r="B1226" s="1325"/>
      <c r="C1226" t="s">
        <v>421</v>
      </c>
      <c r="D1226" s="113">
        <v>11869</v>
      </c>
    </row>
    <row r="1227" spans="1:4">
      <c r="A1227" s="107">
        <v>1</v>
      </c>
      <c r="B1227" s="1323" t="s">
        <v>926</v>
      </c>
      <c r="C1227" t="s">
        <v>444</v>
      </c>
      <c r="D1227" s="113">
        <v>56180.7</v>
      </c>
    </row>
    <row r="1228" spans="1:4">
      <c r="A1228" s="107">
        <v>1</v>
      </c>
      <c r="B1228" s="1324"/>
      <c r="C1228" t="s">
        <v>445</v>
      </c>
      <c r="D1228" s="113">
        <v>0</v>
      </c>
    </row>
    <row r="1229" spans="1:4">
      <c r="A1229" s="107">
        <v>1</v>
      </c>
      <c r="B1229" s="1324"/>
      <c r="C1229" t="s">
        <v>446</v>
      </c>
      <c r="D1229" s="113">
        <v>27619.200000000001</v>
      </c>
    </row>
    <row r="1230" spans="1:4">
      <c r="A1230" s="107">
        <v>1</v>
      </c>
      <c r="B1230" s="1324"/>
      <c r="C1230" t="s">
        <v>1253</v>
      </c>
      <c r="D1230" s="113">
        <v>0</v>
      </c>
    </row>
    <row r="1231" spans="1:4">
      <c r="A1231" s="107">
        <v>1</v>
      </c>
      <c r="B1231" s="1324"/>
      <c r="C1231" t="s">
        <v>421</v>
      </c>
      <c r="D1231" s="113">
        <v>0</v>
      </c>
    </row>
    <row r="1232" spans="1:4">
      <c r="A1232" s="107">
        <v>2</v>
      </c>
      <c r="B1232" s="1323" t="s">
        <v>927</v>
      </c>
      <c r="C1232" t="s">
        <v>444</v>
      </c>
      <c r="D1232" s="113">
        <v>0</v>
      </c>
    </row>
    <row r="1233" spans="1:4">
      <c r="A1233" s="107">
        <v>2</v>
      </c>
      <c r="B1233" s="1324"/>
      <c r="C1233" t="s">
        <v>445</v>
      </c>
      <c r="D1233" s="113">
        <v>0</v>
      </c>
    </row>
    <row r="1234" spans="1:4">
      <c r="A1234" s="107">
        <v>2</v>
      </c>
      <c r="B1234" s="1324"/>
      <c r="C1234" t="s">
        <v>446</v>
      </c>
      <c r="D1234" s="113">
        <v>9748.7999999999993</v>
      </c>
    </row>
    <row r="1235" spans="1:4">
      <c r="A1235" s="107">
        <v>2</v>
      </c>
      <c r="B1235" s="1324"/>
      <c r="C1235" t="s">
        <v>1253</v>
      </c>
      <c r="D1235" s="113">
        <v>0</v>
      </c>
    </row>
    <row r="1236" spans="1:4">
      <c r="A1236" s="107">
        <v>2</v>
      </c>
      <c r="B1236" s="1324"/>
      <c r="C1236" t="s">
        <v>421</v>
      </c>
      <c r="D1236" s="113">
        <v>0</v>
      </c>
    </row>
    <row r="1237" spans="1:4">
      <c r="A1237" s="107">
        <v>2</v>
      </c>
      <c r="B1237" s="1323" t="s">
        <v>928</v>
      </c>
      <c r="C1237" t="s">
        <v>444</v>
      </c>
      <c r="D1237" s="113">
        <v>0</v>
      </c>
    </row>
    <row r="1238" spans="1:4">
      <c r="A1238" s="107">
        <v>2</v>
      </c>
      <c r="B1238" s="1324"/>
      <c r="C1238" t="s">
        <v>445</v>
      </c>
      <c r="D1238" s="113">
        <v>0</v>
      </c>
    </row>
    <row r="1239" spans="1:4">
      <c r="A1239" s="107">
        <v>2</v>
      </c>
      <c r="B1239" s="1324"/>
      <c r="C1239" t="s">
        <v>446</v>
      </c>
      <c r="D1239" s="113">
        <v>4078</v>
      </c>
    </row>
    <row r="1240" spans="1:4">
      <c r="A1240" s="107">
        <v>2</v>
      </c>
      <c r="B1240" s="1324"/>
      <c r="C1240" t="s">
        <v>1253</v>
      </c>
      <c r="D1240" s="113">
        <v>0</v>
      </c>
    </row>
    <row r="1241" spans="1:4">
      <c r="A1241" s="107">
        <v>2</v>
      </c>
      <c r="B1241" s="1324"/>
      <c r="C1241" t="s">
        <v>421</v>
      </c>
      <c r="D1241" s="113">
        <v>0</v>
      </c>
    </row>
    <row r="1242" spans="1:4">
      <c r="A1242" s="107">
        <v>2</v>
      </c>
      <c r="B1242" s="1323" t="s">
        <v>929</v>
      </c>
      <c r="C1242" t="s">
        <v>444</v>
      </c>
      <c r="D1242" s="113">
        <v>0</v>
      </c>
    </row>
    <row r="1243" spans="1:4">
      <c r="A1243" s="107">
        <v>2</v>
      </c>
      <c r="B1243" s="1324"/>
      <c r="C1243" t="s">
        <v>445</v>
      </c>
      <c r="D1243" s="113">
        <v>0</v>
      </c>
    </row>
    <row r="1244" spans="1:4">
      <c r="A1244" s="107">
        <v>2</v>
      </c>
      <c r="B1244" s="1324"/>
      <c r="C1244" t="s">
        <v>446</v>
      </c>
      <c r="D1244" s="113">
        <v>43402.400000000001</v>
      </c>
    </row>
    <row r="1245" spans="1:4">
      <c r="A1245" s="107">
        <v>2</v>
      </c>
      <c r="B1245" s="1324"/>
      <c r="C1245" t="s">
        <v>1253</v>
      </c>
      <c r="D1245" s="113">
        <v>0</v>
      </c>
    </row>
    <row r="1246" spans="1:4">
      <c r="A1246" s="107">
        <v>2</v>
      </c>
      <c r="B1246" s="1324"/>
      <c r="C1246" t="s">
        <v>421</v>
      </c>
      <c r="D1246" s="113">
        <v>0</v>
      </c>
    </row>
    <row r="1247" spans="1:4">
      <c r="A1247" s="107">
        <v>1</v>
      </c>
      <c r="B1247" s="1323" t="s">
        <v>930</v>
      </c>
      <c r="C1247" t="s">
        <v>444</v>
      </c>
      <c r="D1247" s="113">
        <v>92052.5</v>
      </c>
    </row>
    <row r="1248" spans="1:4">
      <c r="A1248" s="107">
        <v>1</v>
      </c>
      <c r="B1248" s="1324"/>
      <c r="C1248" t="s">
        <v>445</v>
      </c>
      <c r="D1248" s="113">
        <v>0</v>
      </c>
    </row>
    <row r="1249" spans="1:4">
      <c r="A1249" s="107">
        <v>1</v>
      </c>
      <c r="B1249" s="1324"/>
      <c r="C1249" t="s">
        <v>446</v>
      </c>
      <c r="D1249" s="113">
        <v>42499.6</v>
      </c>
    </row>
    <row r="1250" spans="1:4">
      <c r="A1250" s="107">
        <v>1</v>
      </c>
      <c r="B1250" s="1324"/>
      <c r="C1250" t="s">
        <v>1253</v>
      </c>
      <c r="D1250" s="113">
        <v>0</v>
      </c>
    </row>
    <row r="1251" spans="1:4">
      <c r="A1251" s="107">
        <v>1</v>
      </c>
      <c r="B1251" s="1324"/>
      <c r="C1251" t="s">
        <v>421</v>
      </c>
      <c r="D1251" s="113">
        <v>0</v>
      </c>
    </row>
    <row r="1252" spans="1:4">
      <c r="A1252" s="107">
        <v>2</v>
      </c>
      <c r="B1252" s="1323" t="s">
        <v>931</v>
      </c>
      <c r="C1252" t="s">
        <v>444</v>
      </c>
      <c r="D1252" s="113">
        <v>0</v>
      </c>
    </row>
    <row r="1253" spans="1:4">
      <c r="A1253" s="107">
        <v>2</v>
      </c>
      <c r="B1253" s="1324"/>
      <c r="C1253" t="s">
        <v>445</v>
      </c>
      <c r="D1253" s="113">
        <v>0</v>
      </c>
    </row>
    <row r="1254" spans="1:4">
      <c r="A1254" s="107">
        <v>2</v>
      </c>
      <c r="B1254" s="1324"/>
      <c r="C1254" t="s">
        <v>446</v>
      </c>
      <c r="D1254" s="113">
        <v>5542.7</v>
      </c>
    </row>
    <row r="1255" spans="1:4">
      <c r="A1255" s="107">
        <v>2</v>
      </c>
      <c r="B1255" s="1324"/>
      <c r="C1255" t="s">
        <v>1253</v>
      </c>
      <c r="D1255" s="113">
        <v>0</v>
      </c>
    </row>
    <row r="1256" spans="1:4">
      <c r="A1256" s="107">
        <v>2</v>
      </c>
      <c r="B1256" s="1324"/>
      <c r="C1256" t="s">
        <v>421</v>
      </c>
      <c r="D1256" s="113">
        <v>0</v>
      </c>
    </row>
    <row r="1257" spans="1:4">
      <c r="A1257" s="107">
        <v>2</v>
      </c>
      <c r="B1257" s="1323" t="s">
        <v>932</v>
      </c>
      <c r="C1257" t="s">
        <v>444</v>
      </c>
      <c r="D1257" s="113">
        <v>0</v>
      </c>
    </row>
    <row r="1258" spans="1:4">
      <c r="A1258" s="107">
        <v>2</v>
      </c>
      <c r="B1258" s="1324"/>
      <c r="C1258" t="s">
        <v>445</v>
      </c>
      <c r="D1258" s="113">
        <v>0</v>
      </c>
    </row>
    <row r="1259" spans="1:4">
      <c r="A1259" s="107">
        <v>2</v>
      </c>
      <c r="B1259" s="1324"/>
      <c r="C1259" t="s">
        <v>446</v>
      </c>
      <c r="D1259" s="113">
        <v>7794.1</v>
      </c>
    </row>
    <row r="1260" spans="1:4">
      <c r="A1260" s="107">
        <v>2</v>
      </c>
      <c r="B1260" s="1324"/>
      <c r="C1260" t="s">
        <v>1253</v>
      </c>
      <c r="D1260" s="113">
        <v>0</v>
      </c>
    </row>
    <row r="1261" spans="1:4">
      <c r="A1261" s="107">
        <v>2</v>
      </c>
      <c r="B1261" s="1324"/>
      <c r="C1261" t="s">
        <v>421</v>
      </c>
      <c r="D1261" s="113">
        <v>0</v>
      </c>
    </row>
    <row r="1262" spans="1:4">
      <c r="A1262" s="107">
        <v>1</v>
      </c>
      <c r="B1262" s="1323" t="s">
        <v>933</v>
      </c>
      <c r="C1262" t="s">
        <v>444</v>
      </c>
      <c r="D1262" s="113">
        <v>68204</v>
      </c>
    </row>
    <row r="1263" spans="1:4">
      <c r="A1263" s="107">
        <v>1</v>
      </c>
      <c r="B1263" s="1324"/>
      <c r="C1263" t="s">
        <v>445</v>
      </c>
      <c r="D1263" s="113">
        <v>0</v>
      </c>
    </row>
    <row r="1264" spans="1:4">
      <c r="A1264" s="107">
        <v>1</v>
      </c>
      <c r="B1264" s="1324"/>
      <c r="C1264" t="s">
        <v>446</v>
      </c>
      <c r="D1264" s="113">
        <v>42587.7</v>
      </c>
    </row>
    <row r="1265" spans="1:4">
      <c r="A1265" s="107">
        <v>1</v>
      </c>
      <c r="B1265" s="1324"/>
      <c r="C1265" t="s">
        <v>1253</v>
      </c>
      <c r="D1265" s="113">
        <v>0</v>
      </c>
    </row>
    <row r="1266" spans="1:4">
      <c r="A1266" s="107">
        <v>1</v>
      </c>
      <c r="B1266" s="1324"/>
      <c r="C1266" t="s">
        <v>421</v>
      </c>
      <c r="D1266" s="113">
        <v>0</v>
      </c>
    </row>
    <row r="1267" spans="1:4">
      <c r="A1267" s="107">
        <v>2</v>
      </c>
      <c r="B1267" s="1323" t="s">
        <v>934</v>
      </c>
      <c r="C1267" t="s">
        <v>444</v>
      </c>
      <c r="D1267" s="113">
        <v>0</v>
      </c>
    </row>
    <row r="1268" spans="1:4">
      <c r="A1268" s="107">
        <v>2</v>
      </c>
      <c r="B1268" s="1324"/>
      <c r="C1268" t="s">
        <v>445</v>
      </c>
      <c r="D1268" s="113">
        <v>0</v>
      </c>
    </row>
    <row r="1269" spans="1:4">
      <c r="A1269" s="107">
        <v>2</v>
      </c>
      <c r="B1269" s="1324"/>
      <c r="C1269" t="s">
        <v>446</v>
      </c>
      <c r="D1269" s="113">
        <v>1180.2</v>
      </c>
    </row>
    <row r="1270" spans="1:4">
      <c r="A1270" s="107">
        <v>2</v>
      </c>
      <c r="B1270" s="1324"/>
      <c r="C1270" t="s">
        <v>1253</v>
      </c>
      <c r="D1270" s="113">
        <v>0</v>
      </c>
    </row>
    <row r="1271" spans="1:4">
      <c r="A1271" s="107">
        <v>2</v>
      </c>
      <c r="B1271" s="1324"/>
      <c r="C1271" t="s">
        <v>421</v>
      </c>
      <c r="D1271" s="113">
        <v>0</v>
      </c>
    </row>
    <row r="1272" spans="1:4">
      <c r="A1272" s="107">
        <v>4</v>
      </c>
      <c r="B1272" s="1323" t="s">
        <v>935</v>
      </c>
      <c r="C1272" t="s">
        <v>444</v>
      </c>
      <c r="D1272" s="113">
        <v>1833740.3</v>
      </c>
    </row>
    <row r="1273" spans="1:4">
      <c r="A1273" s="107">
        <v>4</v>
      </c>
      <c r="B1273" s="1324"/>
      <c r="C1273" t="s">
        <v>445</v>
      </c>
      <c r="D1273" s="113">
        <v>46737.4</v>
      </c>
    </row>
    <row r="1274" spans="1:4">
      <c r="A1274" s="107">
        <v>4</v>
      </c>
      <c r="B1274" s="1324"/>
      <c r="C1274" t="s">
        <v>446</v>
      </c>
      <c r="D1274" s="113">
        <v>117626.3</v>
      </c>
    </row>
    <row r="1275" spans="1:4">
      <c r="A1275" s="107">
        <v>4</v>
      </c>
      <c r="B1275" s="1324"/>
      <c r="C1275" t="s">
        <v>1253</v>
      </c>
      <c r="D1275" s="113">
        <v>0</v>
      </c>
    </row>
    <row r="1276" spans="1:4">
      <c r="A1276" s="107">
        <v>4</v>
      </c>
      <c r="B1276" s="1324"/>
      <c r="C1276" t="s">
        <v>421</v>
      </c>
      <c r="D1276" s="113">
        <v>46124</v>
      </c>
    </row>
    <row r="1277" spans="1:4">
      <c r="A1277" s="107">
        <v>2</v>
      </c>
      <c r="B1277" s="1323" t="s">
        <v>936</v>
      </c>
      <c r="C1277" t="s">
        <v>444</v>
      </c>
      <c r="D1277" s="113">
        <v>0</v>
      </c>
    </row>
    <row r="1278" spans="1:4">
      <c r="A1278" s="107">
        <v>2</v>
      </c>
      <c r="B1278" s="1324"/>
      <c r="C1278" t="s">
        <v>445</v>
      </c>
      <c r="D1278" s="113">
        <v>0</v>
      </c>
    </row>
    <row r="1279" spans="1:4">
      <c r="A1279" s="107">
        <v>2</v>
      </c>
      <c r="B1279" s="1324"/>
      <c r="C1279" t="s">
        <v>446</v>
      </c>
      <c r="D1279" s="113">
        <v>4450.1000000000004</v>
      </c>
    </row>
    <row r="1280" spans="1:4">
      <c r="A1280" s="107">
        <v>2</v>
      </c>
      <c r="B1280" s="1324"/>
      <c r="C1280" t="s">
        <v>1253</v>
      </c>
      <c r="D1280" s="113">
        <v>0</v>
      </c>
    </row>
    <row r="1281" spans="1:4">
      <c r="A1281" s="107">
        <v>2</v>
      </c>
      <c r="B1281" s="1324"/>
      <c r="C1281" t="s">
        <v>421</v>
      </c>
      <c r="D1281" s="113">
        <v>0</v>
      </c>
    </row>
    <row r="1282" spans="1:4">
      <c r="A1282" s="107">
        <v>1</v>
      </c>
      <c r="B1282" s="1323" t="s">
        <v>937</v>
      </c>
      <c r="C1282" t="s">
        <v>444</v>
      </c>
      <c r="D1282" s="113">
        <v>82926.8</v>
      </c>
    </row>
    <row r="1283" spans="1:4">
      <c r="A1283" s="107">
        <v>1</v>
      </c>
      <c r="B1283" s="1324"/>
      <c r="C1283" t="s">
        <v>445</v>
      </c>
      <c r="D1283" s="113">
        <v>0</v>
      </c>
    </row>
    <row r="1284" spans="1:4">
      <c r="A1284" s="107">
        <v>1</v>
      </c>
      <c r="B1284" s="1324"/>
      <c r="C1284" t="s">
        <v>446</v>
      </c>
      <c r="D1284" s="113">
        <v>36906.9</v>
      </c>
    </row>
    <row r="1285" spans="1:4">
      <c r="A1285" s="107">
        <v>1</v>
      </c>
      <c r="B1285" s="1324"/>
      <c r="C1285" t="s">
        <v>1253</v>
      </c>
      <c r="D1285" s="113">
        <v>0</v>
      </c>
    </row>
    <row r="1286" spans="1:4">
      <c r="A1286" s="107">
        <v>1</v>
      </c>
      <c r="B1286" s="1324"/>
      <c r="C1286" t="s">
        <v>421</v>
      </c>
      <c r="D1286" s="113">
        <v>0</v>
      </c>
    </row>
    <row r="1287" spans="1:4">
      <c r="A1287" s="107">
        <v>2</v>
      </c>
      <c r="B1287" s="1323" t="s">
        <v>938</v>
      </c>
      <c r="C1287" t="s">
        <v>444</v>
      </c>
      <c r="D1287" s="113">
        <v>0</v>
      </c>
    </row>
    <row r="1288" spans="1:4">
      <c r="A1288" s="107">
        <v>2</v>
      </c>
      <c r="B1288" s="1324"/>
      <c r="C1288" t="s">
        <v>445</v>
      </c>
      <c r="D1288" s="113">
        <v>0</v>
      </c>
    </row>
    <row r="1289" spans="1:4">
      <c r="A1289" s="107">
        <v>2</v>
      </c>
      <c r="B1289" s="1324"/>
      <c r="C1289" t="s">
        <v>446</v>
      </c>
      <c r="D1289" s="113">
        <v>3570.8</v>
      </c>
    </row>
    <row r="1290" spans="1:4">
      <c r="A1290" s="107">
        <v>2</v>
      </c>
      <c r="B1290" s="1324"/>
      <c r="C1290" t="s">
        <v>1253</v>
      </c>
      <c r="D1290" s="113">
        <v>0</v>
      </c>
    </row>
    <row r="1291" spans="1:4">
      <c r="A1291" s="107">
        <v>2</v>
      </c>
      <c r="B1291" s="1324"/>
      <c r="C1291" t="s">
        <v>421</v>
      </c>
      <c r="D1291" s="113">
        <v>0</v>
      </c>
    </row>
    <row r="1292" spans="1:4">
      <c r="A1292" s="107">
        <v>1</v>
      </c>
      <c r="B1292" s="1323" t="s">
        <v>939</v>
      </c>
      <c r="C1292" t="s">
        <v>444</v>
      </c>
      <c r="D1292" s="113">
        <v>380278.7</v>
      </c>
    </row>
    <row r="1293" spans="1:4">
      <c r="A1293" s="107">
        <v>1</v>
      </c>
      <c r="B1293" s="1324"/>
      <c r="C1293" t="s">
        <v>445</v>
      </c>
      <c r="D1293" s="113">
        <v>0</v>
      </c>
    </row>
    <row r="1294" spans="1:4">
      <c r="A1294" s="107">
        <v>1</v>
      </c>
      <c r="B1294" s="1324"/>
      <c r="C1294" t="s">
        <v>446</v>
      </c>
      <c r="D1294" s="113">
        <v>62307.3</v>
      </c>
    </row>
    <row r="1295" spans="1:4">
      <c r="A1295" s="107">
        <v>1</v>
      </c>
      <c r="B1295" s="1324"/>
      <c r="C1295" t="s">
        <v>1253</v>
      </c>
      <c r="D1295" s="113">
        <v>0</v>
      </c>
    </row>
    <row r="1296" spans="1:4">
      <c r="A1296" s="107">
        <v>1</v>
      </c>
      <c r="B1296" s="1324"/>
      <c r="C1296" t="s">
        <v>421</v>
      </c>
      <c r="D1296" s="113">
        <v>0</v>
      </c>
    </row>
    <row r="1297" spans="1:4">
      <c r="A1297" s="107">
        <v>1</v>
      </c>
      <c r="B1297" s="1323" t="s">
        <v>940</v>
      </c>
      <c r="C1297" t="s">
        <v>444</v>
      </c>
      <c r="D1297" s="113">
        <v>1457606.1</v>
      </c>
    </row>
    <row r="1298" spans="1:4">
      <c r="A1298" s="107">
        <v>1</v>
      </c>
      <c r="B1298" s="1324"/>
      <c r="C1298" t="s">
        <v>445</v>
      </c>
      <c r="D1298" s="113">
        <v>28758</v>
      </c>
    </row>
    <row r="1299" spans="1:4">
      <c r="A1299" s="107">
        <v>1</v>
      </c>
      <c r="B1299" s="1324"/>
      <c r="C1299" t="s">
        <v>446</v>
      </c>
      <c r="D1299" s="113">
        <v>55318.400000000001</v>
      </c>
    </row>
    <row r="1300" spans="1:4">
      <c r="A1300" s="107">
        <v>1</v>
      </c>
      <c r="B1300" s="1324"/>
      <c r="C1300" t="s">
        <v>1253</v>
      </c>
      <c r="D1300" s="113">
        <v>0</v>
      </c>
    </row>
    <row r="1301" spans="1:4">
      <c r="A1301" s="107">
        <v>1</v>
      </c>
      <c r="B1301" s="1324"/>
      <c r="C1301" t="s">
        <v>421</v>
      </c>
      <c r="D1301" s="113">
        <v>0</v>
      </c>
    </row>
    <row r="1302" spans="1:4">
      <c r="A1302" s="107">
        <v>1</v>
      </c>
      <c r="B1302" s="1323" t="s">
        <v>941</v>
      </c>
      <c r="C1302" t="s">
        <v>444</v>
      </c>
      <c r="D1302" s="113">
        <v>89113</v>
      </c>
    </row>
    <row r="1303" spans="1:4">
      <c r="A1303" s="107">
        <v>1</v>
      </c>
      <c r="B1303" s="1324"/>
      <c r="C1303" t="s">
        <v>445</v>
      </c>
      <c r="D1303" s="113">
        <v>0</v>
      </c>
    </row>
    <row r="1304" spans="1:4">
      <c r="A1304" s="107">
        <v>1</v>
      </c>
      <c r="B1304" s="1324"/>
      <c r="C1304" t="s">
        <v>446</v>
      </c>
      <c r="D1304" s="113">
        <v>2686</v>
      </c>
    </row>
    <row r="1305" spans="1:4">
      <c r="A1305" s="107">
        <v>1</v>
      </c>
      <c r="B1305" s="1324"/>
      <c r="C1305" t="s">
        <v>1253</v>
      </c>
      <c r="D1305" s="113">
        <v>0</v>
      </c>
    </row>
    <row r="1306" spans="1:4">
      <c r="A1306" s="107">
        <v>1</v>
      </c>
      <c r="B1306" s="1324"/>
      <c r="C1306" t="s">
        <v>421</v>
      </c>
      <c r="D1306" s="113">
        <v>0</v>
      </c>
    </row>
    <row r="1307" spans="1:4">
      <c r="A1307" s="107">
        <v>2</v>
      </c>
      <c r="B1307" s="1323" t="s">
        <v>942</v>
      </c>
      <c r="C1307" t="s">
        <v>444</v>
      </c>
      <c r="D1307" s="113">
        <v>0</v>
      </c>
    </row>
    <row r="1308" spans="1:4">
      <c r="A1308" s="107">
        <v>2</v>
      </c>
      <c r="B1308" s="1324"/>
      <c r="C1308" t="s">
        <v>445</v>
      </c>
      <c r="D1308" s="113">
        <v>0</v>
      </c>
    </row>
    <row r="1309" spans="1:4">
      <c r="A1309" s="107">
        <v>2</v>
      </c>
      <c r="B1309" s="1324"/>
      <c r="C1309" t="s">
        <v>446</v>
      </c>
      <c r="D1309" s="113">
        <v>3561.5</v>
      </c>
    </row>
    <row r="1310" spans="1:4">
      <c r="A1310" s="107">
        <v>2</v>
      </c>
      <c r="B1310" s="1324"/>
      <c r="C1310" t="s">
        <v>1253</v>
      </c>
      <c r="D1310" s="113">
        <v>0</v>
      </c>
    </row>
    <row r="1311" spans="1:4">
      <c r="A1311" s="107">
        <v>2</v>
      </c>
      <c r="B1311" s="1324"/>
      <c r="C1311" t="s">
        <v>421</v>
      </c>
      <c r="D1311" s="113">
        <v>0</v>
      </c>
    </row>
    <row r="1312" spans="1:4">
      <c r="A1312" s="107">
        <v>1</v>
      </c>
      <c r="B1312" s="1323" t="s">
        <v>943</v>
      </c>
      <c r="C1312" t="s">
        <v>444</v>
      </c>
      <c r="D1312" s="113">
        <v>530359.80000000005</v>
      </c>
    </row>
    <row r="1313" spans="1:4">
      <c r="A1313" s="107">
        <v>1</v>
      </c>
      <c r="B1313" s="1324"/>
      <c r="C1313" t="s">
        <v>445</v>
      </c>
      <c r="D1313" s="113">
        <v>0</v>
      </c>
    </row>
    <row r="1314" spans="1:4">
      <c r="A1314" s="107">
        <v>1</v>
      </c>
      <c r="B1314" s="1324"/>
      <c r="C1314" t="s">
        <v>446</v>
      </c>
      <c r="D1314" s="113">
        <v>102827.2</v>
      </c>
    </row>
    <row r="1315" spans="1:4">
      <c r="A1315" s="107">
        <v>1</v>
      </c>
      <c r="B1315" s="1324"/>
      <c r="C1315" t="s">
        <v>1253</v>
      </c>
      <c r="D1315" s="113">
        <v>0</v>
      </c>
    </row>
    <row r="1316" spans="1:4">
      <c r="A1316" s="107">
        <v>1</v>
      </c>
      <c r="B1316" s="1324"/>
      <c r="C1316" t="s">
        <v>421</v>
      </c>
      <c r="D1316" s="113">
        <v>0</v>
      </c>
    </row>
    <row r="1317" spans="1:4">
      <c r="A1317" s="107">
        <v>1</v>
      </c>
      <c r="B1317" s="1323" t="s">
        <v>944</v>
      </c>
      <c r="C1317" t="s">
        <v>444</v>
      </c>
      <c r="D1317" s="113">
        <v>1332227.3</v>
      </c>
    </row>
    <row r="1318" spans="1:4">
      <c r="A1318" s="107">
        <v>1</v>
      </c>
      <c r="B1318" s="1324"/>
      <c r="C1318" t="s">
        <v>445</v>
      </c>
      <c r="D1318" s="113">
        <v>53853.2</v>
      </c>
    </row>
    <row r="1319" spans="1:4">
      <c r="A1319" s="107">
        <v>1</v>
      </c>
      <c r="B1319" s="1324"/>
      <c r="C1319" t="s">
        <v>446</v>
      </c>
      <c r="D1319" s="113">
        <v>145495.4</v>
      </c>
    </row>
    <row r="1320" spans="1:4">
      <c r="A1320" s="107">
        <v>1</v>
      </c>
      <c r="B1320" s="1324"/>
      <c r="C1320" t="s">
        <v>1253</v>
      </c>
      <c r="D1320" s="113">
        <v>0</v>
      </c>
    </row>
    <row r="1321" spans="1:4">
      <c r="A1321" s="107">
        <v>1</v>
      </c>
      <c r="B1321" s="1324"/>
      <c r="C1321" t="s">
        <v>421</v>
      </c>
      <c r="D1321" s="113">
        <v>33671.800000000003</v>
      </c>
    </row>
    <row r="1322" spans="1:4">
      <c r="A1322" s="107">
        <v>1</v>
      </c>
      <c r="B1322" s="1323" t="s">
        <v>945</v>
      </c>
      <c r="C1322" t="s">
        <v>444</v>
      </c>
      <c r="D1322" s="113">
        <v>1706351.9</v>
      </c>
    </row>
    <row r="1323" spans="1:4">
      <c r="A1323" s="107">
        <v>1</v>
      </c>
      <c r="B1323" s="1324"/>
      <c r="C1323" t="s">
        <v>445</v>
      </c>
      <c r="D1323" s="113">
        <v>752642</v>
      </c>
    </row>
    <row r="1324" spans="1:4">
      <c r="A1324" s="107">
        <v>1</v>
      </c>
      <c r="B1324" s="1324"/>
      <c r="C1324" t="s">
        <v>446</v>
      </c>
      <c r="D1324" s="113">
        <v>69643.399999999994</v>
      </c>
    </row>
    <row r="1325" spans="1:4">
      <c r="A1325" s="107">
        <v>1</v>
      </c>
      <c r="B1325" s="1324"/>
      <c r="C1325" t="s">
        <v>1253</v>
      </c>
      <c r="D1325" s="113">
        <v>0</v>
      </c>
    </row>
    <row r="1326" spans="1:4">
      <c r="A1326" s="107">
        <v>1</v>
      </c>
      <c r="B1326" s="1324"/>
      <c r="C1326" t="s">
        <v>421</v>
      </c>
      <c r="D1326" s="113">
        <v>0</v>
      </c>
    </row>
    <row r="1327" spans="1:4">
      <c r="A1327" s="107">
        <v>6</v>
      </c>
      <c r="B1327" s="1323" t="s">
        <v>946</v>
      </c>
      <c r="C1327" t="s">
        <v>444</v>
      </c>
      <c r="D1327" s="113">
        <v>1707007.5</v>
      </c>
    </row>
    <row r="1328" spans="1:4">
      <c r="A1328" s="107">
        <v>6</v>
      </c>
      <c r="B1328" s="1324"/>
      <c r="C1328" t="s">
        <v>445</v>
      </c>
      <c r="D1328" s="113">
        <v>358409.4</v>
      </c>
    </row>
    <row r="1329" spans="1:4">
      <c r="A1329" s="107">
        <v>6</v>
      </c>
      <c r="B1329" s="1324"/>
      <c r="C1329" t="s">
        <v>446</v>
      </c>
      <c r="D1329" s="113">
        <v>36576.300000000003</v>
      </c>
    </row>
    <row r="1330" spans="1:4">
      <c r="A1330" s="107">
        <v>6</v>
      </c>
      <c r="B1330" s="1324"/>
      <c r="C1330" t="s">
        <v>1253</v>
      </c>
      <c r="D1330" s="113">
        <v>0</v>
      </c>
    </row>
    <row r="1331" spans="1:4">
      <c r="A1331" s="107">
        <v>6</v>
      </c>
      <c r="B1331" s="1324"/>
      <c r="C1331" t="s">
        <v>421</v>
      </c>
      <c r="D1331" s="113">
        <v>0</v>
      </c>
    </row>
    <row r="1332" spans="1:4">
      <c r="A1332" s="107">
        <v>1</v>
      </c>
      <c r="B1332" s="1323" t="s">
        <v>947</v>
      </c>
      <c r="C1332" t="s">
        <v>444</v>
      </c>
      <c r="D1332" s="113">
        <v>211182.8</v>
      </c>
    </row>
    <row r="1333" spans="1:4">
      <c r="A1333" s="107">
        <v>1</v>
      </c>
      <c r="B1333" s="1324"/>
      <c r="C1333" t="s">
        <v>445</v>
      </c>
      <c r="D1333" s="113">
        <v>0</v>
      </c>
    </row>
    <row r="1334" spans="1:4">
      <c r="A1334" s="107">
        <v>1</v>
      </c>
      <c r="B1334" s="1324"/>
      <c r="C1334" t="s">
        <v>446</v>
      </c>
      <c r="D1334" s="113">
        <v>249374.4</v>
      </c>
    </row>
    <row r="1335" spans="1:4">
      <c r="A1335" s="107">
        <v>1</v>
      </c>
      <c r="B1335" s="1324"/>
      <c r="C1335" t="s">
        <v>1253</v>
      </c>
      <c r="D1335" s="113">
        <v>0</v>
      </c>
    </row>
    <row r="1336" spans="1:4">
      <c r="A1336" s="107">
        <v>1</v>
      </c>
      <c r="B1336" s="1324"/>
      <c r="C1336" t="s">
        <v>421</v>
      </c>
      <c r="D1336" s="113">
        <v>0</v>
      </c>
    </row>
    <row r="1337" spans="1:4">
      <c r="A1337" s="107">
        <v>4</v>
      </c>
      <c r="B1337" s="1323" t="s">
        <v>948</v>
      </c>
      <c r="C1337" t="s">
        <v>444</v>
      </c>
      <c r="D1337" s="113">
        <v>181209.4</v>
      </c>
    </row>
    <row r="1338" spans="1:4">
      <c r="A1338" s="107">
        <v>4</v>
      </c>
      <c r="B1338" s="1324"/>
      <c r="C1338" t="s">
        <v>445</v>
      </c>
      <c r="D1338" s="113">
        <v>0</v>
      </c>
    </row>
    <row r="1339" spans="1:4">
      <c r="A1339" s="107">
        <v>4</v>
      </c>
      <c r="B1339" s="1324"/>
      <c r="C1339" t="s">
        <v>446</v>
      </c>
      <c r="D1339" s="113">
        <v>11690.9</v>
      </c>
    </row>
    <row r="1340" spans="1:4">
      <c r="A1340" s="107">
        <v>4</v>
      </c>
      <c r="B1340" s="1324"/>
      <c r="C1340" t="s">
        <v>1253</v>
      </c>
      <c r="D1340" s="113">
        <v>0</v>
      </c>
    </row>
    <row r="1341" spans="1:4">
      <c r="A1341" s="107">
        <v>4</v>
      </c>
      <c r="B1341" s="1325"/>
      <c r="C1341" t="s">
        <v>421</v>
      </c>
      <c r="D1341" s="113">
        <v>0</v>
      </c>
    </row>
    <row r="1342" spans="1:4">
      <c r="A1342" s="107">
        <v>9</v>
      </c>
      <c r="B1342" s="1323" t="s">
        <v>949</v>
      </c>
      <c r="C1342" t="s">
        <v>444</v>
      </c>
      <c r="D1342" s="113">
        <v>111805</v>
      </c>
    </row>
    <row r="1343" spans="1:4">
      <c r="A1343" s="107">
        <v>9</v>
      </c>
      <c r="B1343" s="1324"/>
      <c r="C1343" t="s">
        <v>445</v>
      </c>
      <c r="D1343" s="113">
        <v>0</v>
      </c>
    </row>
    <row r="1344" spans="1:4">
      <c r="A1344" s="107">
        <v>9</v>
      </c>
      <c r="B1344" s="1324"/>
      <c r="C1344" t="s">
        <v>446</v>
      </c>
      <c r="D1344" s="113">
        <v>60775.7</v>
      </c>
    </row>
    <row r="1345" spans="1:4">
      <c r="A1345" s="107">
        <v>9</v>
      </c>
      <c r="B1345" s="1324"/>
      <c r="C1345" t="s">
        <v>1253</v>
      </c>
      <c r="D1345" s="113">
        <v>0</v>
      </c>
    </row>
    <row r="1346" spans="1:4">
      <c r="A1346" s="107">
        <v>9</v>
      </c>
      <c r="B1346" s="1324"/>
      <c r="C1346" t="s">
        <v>421</v>
      </c>
      <c r="D1346" s="113">
        <v>0</v>
      </c>
    </row>
    <row r="1347" spans="1:4">
      <c r="A1347" s="107">
        <v>1</v>
      </c>
      <c r="B1347" s="1323" t="s">
        <v>950</v>
      </c>
      <c r="C1347" t="s">
        <v>444</v>
      </c>
      <c r="D1347" s="113">
        <v>128292.5</v>
      </c>
    </row>
    <row r="1348" spans="1:4">
      <c r="A1348" s="107">
        <v>1</v>
      </c>
      <c r="B1348" s="1324"/>
      <c r="C1348" t="s">
        <v>445</v>
      </c>
      <c r="D1348" s="113">
        <v>0</v>
      </c>
    </row>
    <row r="1349" spans="1:4">
      <c r="A1349" s="107">
        <v>1</v>
      </c>
      <c r="B1349" s="1324"/>
      <c r="C1349" t="s">
        <v>446</v>
      </c>
      <c r="D1349" s="113">
        <v>0</v>
      </c>
    </row>
    <row r="1350" spans="1:4">
      <c r="A1350" s="107">
        <v>1</v>
      </c>
      <c r="B1350" s="1324"/>
      <c r="C1350" t="s">
        <v>1253</v>
      </c>
      <c r="D1350" s="113">
        <v>0</v>
      </c>
    </row>
    <row r="1351" spans="1:4">
      <c r="A1351" s="107">
        <v>1</v>
      </c>
      <c r="B1351" s="1325"/>
      <c r="C1351" t="s">
        <v>421</v>
      </c>
      <c r="D1351" s="113">
        <v>0</v>
      </c>
    </row>
    <row r="1352" spans="1:4">
      <c r="A1352" s="107">
        <v>2</v>
      </c>
      <c r="B1352" s="1323" t="s">
        <v>951</v>
      </c>
      <c r="C1352" t="s">
        <v>444</v>
      </c>
      <c r="D1352" s="113">
        <v>0</v>
      </c>
    </row>
    <row r="1353" spans="1:4">
      <c r="A1353" s="107">
        <v>2</v>
      </c>
      <c r="B1353" s="1324"/>
      <c r="C1353" t="s">
        <v>445</v>
      </c>
      <c r="D1353" s="113">
        <v>0</v>
      </c>
    </row>
    <row r="1354" spans="1:4">
      <c r="A1354" s="107">
        <v>2</v>
      </c>
      <c r="B1354" s="1324"/>
      <c r="C1354" t="s">
        <v>446</v>
      </c>
      <c r="D1354" s="113">
        <v>4844.5</v>
      </c>
    </row>
    <row r="1355" spans="1:4">
      <c r="A1355" s="107">
        <v>2</v>
      </c>
      <c r="B1355" s="1324"/>
      <c r="C1355" t="s">
        <v>1253</v>
      </c>
      <c r="D1355" s="113">
        <v>0</v>
      </c>
    </row>
    <row r="1356" spans="1:4">
      <c r="A1356" s="107">
        <v>2</v>
      </c>
      <c r="B1356" s="1324"/>
      <c r="C1356" t="s">
        <v>421</v>
      </c>
      <c r="D1356" s="113">
        <v>0</v>
      </c>
    </row>
    <row r="1357" spans="1:4">
      <c r="A1357" s="107">
        <v>4</v>
      </c>
      <c r="B1357" s="1323" t="s">
        <v>952</v>
      </c>
      <c r="C1357" t="s">
        <v>444</v>
      </c>
      <c r="D1357" s="113">
        <v>434371.4</v>
      </c>
    </row>
    <row r="1358" spans="1:4">
      <c r="A1358" s="107">
        <v>4</v>
      </c>
      <c r="B1358" s="1324"/>
      <c r="C1358" t="s">
        <v>445</v>
      </c>
      <c r="D1358" s="113">
        <v>3287.3</v>
      </c>
    </row>
    <row r="1359" spans="1:4">
      <c r="A1359" s="107">
        <v>4</v>
      </c>
      <c r="B1359" s="1324"/>
      <c r="C1359" t="s">
        <v>446</v>
      </c>
      <c r="D1359" s="113">
        <v>8134.2</v>
      </c>
    </row>
    <row r="1360" spans="1:4">
      <c r="A1360" s="107">
        <v>4</v>
      </c>
      <c r="B1360" s="1324"/>
      <c r="C1360" t="s">
        <v>1253</v>
      </c>
      <c r="D1360" s="113">
        <v>0</v>
      </c>
    </row>
    <row r="1361" spans="1:4">
      <c r="A1361" s="107">
        <v>4</v>
      </c>
      <c r="B1361" s="1325"/>
      <c r="C1361" t="s">
        <v>421</v>
      </c>
      <c r="D1361" s="113">
        <v>0</v>
      </c>
    </row>
    <row r="1362" spans="1:4">
      <c r="A1362" s="107">
        <v>2</v>
      </c>
      <c r="B1362" s="1323" t="s">
        <v>953</v>
      </c>
      <c r="C1362" t="s">
        <v>444</v>
      </c>
      <c r="D1362" s="113">
        <v>101627.6</v>
      </c>
    </row>
    <row r="1363" spans="1:4">
      <c r="A1363" s="107">
        <v>2</v>
      </c>
      <c r="B1363" s="1324"/>
      <c r="C1363" t="s">
        <v>445</v>
      </c>
      <c r="D1363" s="113">
        <v>0</v>
      </c>
    </row>
    <row r="1364" spans="1:4">
      <c r="A1364" s="107">
        <v>2</v>
      </c>
      <c r="B1364" s="1324"/>
      <c r="C1364" t="s">
        <v>446</v>
      </c>
      <c r="D1364" s="113">
        <v>29377.4</v>
      </c>
    </row>
    <row r="1365" spans="1:4">
      <c r="A1365" s="107">
        <v>2</v>
      </c>
      <c r="B1365" s="1324"/>
      <c r="C1365" t="s">
        <v>1253</v>
      </c>
      <c r="D1365" s="113">
        <v>0</v>
      </c>
    </row>
    <row r="1366" spans="1:4">
      <c r="A1366" s="107">
        <v>2</v>
      </c>
      <c r="B1366" s="1324"/>
      <c r="C1366" t="s">
        <v>421</v>
      </c>
      <c r="D1366" s="113">
        <v>0</v>
      </c>
    </row>
    <row r="1367" spans="1:4">
      <c r="A1367" s="107">
        <v>4</v>
      </c>
      <c r="B1367" s="1323" t="s">
        <v>954</v>
      </c>
      <c r="C1367" t="s">
        <v>444</v>
      </c>
      <c r="D1367" s="113">
        <v>184387.7</v>
      </c>
    </row>
    <row r="1368" spans="1:4">
      <c r="A1368" s="107">
        <v>4</v>
      </c>
      <c r="B1368" s="1324"/>
      <c r="C1368" t="s">
        <v>445</v>
      </c>
      <c r="D1368" s="113">
        <v>0</v>
      </c>
    </row>
    <row r="1369" spans="1:4">
      <c r="A1369" s="107">
        <v>4</v>
      </c>
      <c r="B1369" s="1324"/>
      <c r="C1369" t="s">
        <v>446</v>
      </c>
      <c r="D1369" s="113">
        <v>0</v>
      </c>
    </row>
    <row r="1370" spans="1:4">
      <c r="A1370" s="107">
        <v>4</v>
      </c>
      <c r="B1370" s="1324"/>
      <c r="C1370" t="s">
        <v>1253</v>
      </c>
      <c r="D1370" s="113">
        <v>0</v>
      </c>
    </row>
    <row r="1371" spans="1:4">
      <c r="A1371" s="107">
        <v>4</v>
      </c>
      <c r="B1371" s="1325"/>
      <c r="C1371" t="s">
        <v>421</v>
      </c>
      <c r="D1371" s="113">
        <v>5079.5</v>
      </c>
    </row>
    <row r="1372" spans="1:4">
      <c r="A1372" s="107">
        <v>7</v>
      </c>
      <c r="B1372" s="1323" t="s">
        <v>955</v>
      </c>
      <c r="C1372" t="s">
        <v>444</v>
      </c>
      <c r="D1372" s="113">
        <v>0</v>
      </c>
    </row>
    <row r="1373" spans="1:4">
      <c r="A1373" s="107">
        <v>7</v>
      </c>
      <c r="B1373" s="1324"/>
      <c r="C1373" t="s">
        <v>445</v>
      </c>
      <c r="D1373" s="113">
        <v>0</v>
      </c>
    </row>
    <row r="1374" spans="1:4">
      <c r="A1374" s="107">
        <v>7</v>
      </c>
      <c r="B1374" s="1324"/>
      <c r="C1374" t="s">
        <v>446</v>
      </c>
      <c r="D1374" s="113">
        <v>29114.6</v>
      </c>
    </row>
    <row r="1375" spans="1:4">
      <c r="A1375" s="107">
        <v>7</v>
      </c>
      <c r="B1375" s="1324"/>
      <c r="C1375" t="s">
        <v>1253</v>
      </c>
      <c r="D1375" s="113">
        <v>0</v>
      </c>
    </row>
    <row r="1376" spans="1:4">
      <c r="A1376" s="107">
        <v>7</v>
      </c>
      <c r="B1376" s="1324"/>
      <c r="C1376" t="s">
        <v>421</v>
      </c>
      <c r="D1376" s="113">
        <v>0</v>
      </c>
    </row>
    <row r="1377" spans="1:4">
      <c r="A1377" s="107">
        <v>8</v>
      </c>
      <c r="B1377" s="1323" t="s">
        <v>956</v>
      </c>
      <c r="C1377" t="s">
        <v>444</v>
      </c>
      <c r="D1377" s="113">
        <v>88399.2</v>
      </c>
    </row>
    <row r="1378" spans="1:4">
      <c r="A1378" s="107">
        <v>8</v>
      </c>
      <c r="B1378" s="1324"/>
      <c r="C1378" t="s">
        <v>445</v>
      </c>
      <c r="D1378" s="113">
        <v>0</v>
      </c>
    </row>
    <row r="1379" spans="1:4">
      <c r="A1379" s="107">
        <v>8</v>
      </c>
      <c r="B1379" s="1324"/>
      <c r="C1379" t="s">
        <v>446</v>
      </c>
      <c r="D1379" s="113">
        <v>3230.2</v>
      </c>
    </row>
    <row r="1380" spans="1:4">
      <c r="A1380" s="107">
        <v>8</v>
      </c>
      <c r="B1380" s="1324"/>
      <c r="C1380" t="s">
        <v>1253</v>
      </c>
      <c r="D1380" s="113">
        <v>58288</v>
      </c>
    </row>
    <row r="1381" spans="1:4">
      <c r="A1381" s="107">
        <v>8</v>
      </c>
      <c r="B1381" s="1324"/>
      <c r="C1381" t="s">
        <v>421</v>
      </c>
      <c r="D1381" s="113">
        <v>0</v>
      </c>
    </row>
    <row r="1382" spans="1:4">
      <c r="A1382" s="107">
        <v>2</v>
      </c>
      <c r="B1382" s="1323" t="s">
        <v>957</v>
      </c>
      <c r="C1382" t="s">
        <v>444</v>
      </c>
      <c r="D1382" s="113">
        <v>0</v>
      </c>
    </row>
    <row r="1383" spans="1:4">
      <c r="A1383" s="107">
        <v>2</v>
      </c>
      <c r="B1383" s="1324"/>
      <c r="C1383" t="s">
        <v>445</v>
      </c>
      <c r="D1383" s="113">
        <v>0</v>
      </c>
    </row>
    <row r="1384" spans="1:4">
      <c r="A1384" s="107">
        <v>2</v>
      </c>
      <c r="B1384" s="1324"/>
      <c r="C1384" t="s">
        <v>446</v>
      </c>
      <c r="D1384" s="113">
        <v>13290.9</v>
      </c>
    </row>
    <row r="1385" spans="1:4">
      <c r="A1385" s="107">
        <v>2</v>
      </c>
      <c r="B1385" s="1324"/>
      <c r="C1385" t="s">
        <v>1253</v>
      </c>
      <c r="D1385" s="113">
        <v>0</v>
      </c>
    </row>
    <row r="1386" spans="1:4">
      <c r="A1386" s="107">
        <v>2</v>
      </c>
      <c r="B1386" s="1324"/>
      <c r="C1386" t="s">
        <v>421</v>
      </c>
      <c r="D1386" s="113">
        <v>0</v>
      </c>
    </row>
    <row r="1387" spans="1:4">
      <c r="A1387" s="107">
        <v>2</v>
      </c>
      <c r="B1387" s="1323" t="s">
        <v>958</v>
      </c>
      <c r="C1387" t="s">
        <v>444</v>
      </c>
      <c r="D1387" s="113">
        <v>0</v>
      </c>
    </row>
    <row r="1388" spans="1:4">
      <c r="A1388" s="107">
        <v>2</v>
      </c>
      <c r="B1388" s="1324"/>
      <c r="C1388" t="s">
        <v>445</v>
      </c>
      <c r="D1388" s="113">
        <v>0</v>
      </c>
    </row>
    <row r="1389" spans="1:4">
      <c r="A1389" s="107">
        <v>2</v>
      </c>
      <c r="B1389" s="1324"/>
      <c r="C1389" t="s">
        <v>446</v>
      </c>
      <c r="D1389" s="113">
        <v>4433.5</v>
      </c>
    </row>
    <row r="1390" spans="1:4">
      <c r="A1390" s="107">
        <v>2</v>
      </c>
      <c r="B1390" s="1324"/>
      <c r="C1390" t="s">
        <v>1253</v>
      </c>
      <c r="D1390" s="113">
        <v>0</v>
      </c>
    </row>
    <row r="1391" spans="1:4">
      <c r="A1391" s="107">
        <v>2</v>
      </c>
      <c r="B1391" s="1324"/>
      <c r="C1391" t="s">
        <v>421</v>
      </c>
      <c r="D1391" s="113">
        <v>0</v>
      </c>
    </row>
    <row r="1392" spans="1:4">
      <c r="A1392" s="107">
        <v>1</v>
      </c>
      <c r="B1392" s="1323" t="s">
        <v>959</v>
      </c>
      <c r="C1392" t="s">
        <v>444</v>
      </c>
      <c r="D1392" s="113">
        <v>66662.100000000006</v>
      </c>
    </row>
    <row r="1393" spans="1:4">
      <c r="A1393" s="107">
        <v>1</v>
      </c>
      <c r="B1393" s="1324"/>
      <c r="C1393" t="s">
        <v>445</v>
      </c>
      <c r="D1393" s="113">
        <v>0</v>
      </c>
    </row>
    <row r="1394" spans="1:4">
      <c r="A1394" s="107">
        <v>1</v>
      </c>
      <c r="B1394" s="1324"/>
      <c r="C1394" t="s">
        <v>446</v>
      </c>
      <c r="D1394" s="113">
        <v>3616.8</v>
      </c>
    </row>
    <row r="1395" spans="1:4">
      <c r="A1395" s="107">
        <v>1</v>
      </c>
      <c r="B1395" s="1324"/>
      <c r="C1395" t="s">
        <v>1253</v>
      </c>
      <c r="D1395" s="113">
        <v>0</v>
      </c>
    </row>
    <row r="1396" spans="1:4">
      <c r="A1396" s="107">
        <v>1</v>
      </c>
      <c r="B1396" s="1324"/>
      <c r="C1396" t="s">
        <v>421</v>
      </c>
      <c r="D1396" s="113">
        <v>0</v>
      </c>
    </row>
    <row r="1397" spans="1:4">
      <c r="A1397" s="107">
        <v>1</v>
      </c>
      <c r="B1397" s="1323" t="s">
        <v>960</v>
      </c>
      <c r="C1397" t="s">
        <v>444</v>
      </c>
      <c r="D1397" s="113">
        <v>105088.2</v>
      </c>
    </row>
    <row r="1398" spans="1:4">
      <c r="A1398" s="107">
        <v>1</v>
      </c>
      <c r="B1398" s="1324"/>
      <c r="C1398" t="s">
        <v>445</v>
      </c>
      <c r="D1398" s="113">
        <v>0</v>
      </c>
    </row>
    <row r="1399" spans="1:4">
      <c r="A1399" s="107">
        <v>1</v>
      </c>
      <c r="B1399" s="1324"/>
      <c r="C1399" t="s">
        <v>446</v>
      </c>
      <c r="D1399" s="113">
        <v>3963.3</v>
      </c>
    </row>
    <row r="1400" spans="1:4">
      <c r="A1400" s="107">
        <v>1</v>
      </c>
      <c r="B1400" s="1324"/>
      <c r="C1400" t="s">
        <v>1253</v>
      </c>
      <c r="D1400" s="113">
        <v>0</v>
      </c>
    </row>
    <row r="1401" spans="1:4">
      <c r="A1401" s="107">
        <v>1</v>
      </c>
      <c r="B1401" s="1324"/>
      <c r="C1401" t="s">
        <v>421</v>
      </c>
      <c r="D1401" s="113">
        <v>0</v>
      </c>
    </row>
    <row r="1402" spans="1:4">
      <c r="A1402" s="107">
        <v>16</v>
      </c>
      <c r="B1402" s="1323" t="s">
        <v>961</v>
      </c>
      <c r="C1402" t="s">
        <v>444</v>
      </c>
      <c r="D1402" s="113">
        <v>0</v>
      </c>
    </row>
    <row r="1403" spans="1:4">
      <c r="A1403" s="107">
        <v>16</v>
      </c>
      <c r="B1403" s="1324"/>
      <c r="C1403" t="s">
        <v>445</v>
      </c>
      <c r="D1403" s="113">
        <v>0</v>
      </c>
    </row>
    <row r="1404" spans="1:4">
      <c r="A1404" s="107">
        <v>16</v>
      </c>
      <c r="B1404" s="1324"/>
      <c r="C1404" t="s">
        <v>446</v>
      </c>
      <c r="D1404" s="113">
        <v>10479.200000000001</v>
      </c>
    </row>
    <row r="1405" spans="1:4">
      <c r="A1405" s="107">
        <v>16</v>
      </c>
      <c r="B1405" s="1324"/>
      <c r="C1405" t="s">
        <v>1253</v>
      </c>
      <c r="D1405" s="113">
        <v>0</v>
      </c>
    </row>
    <row r="1406" spans="1:4">
      <c r="A1406" s="107">
        <v>16</v>
      </c>
      <c r="B1406" s="1324"/>
      <c r="C1406" t="s">
        <v>421</v>
      </c>
      <c r="D1406" s="113">
        <v>0</v>
      </c>
    </row>
    <row r="1407" spans="1:4">
      <c r="A1407" s="107">
        <v>2</v>
      </c>
      <c r="B1407" s="1323" t="s">
        <v>962</v>
      </c>
      <c r="C1407" t="s">
        <v>444</v>
      </c>
      <c r="D1407" s="113">
        <v>0</v>
      </c>
    </row>
    <row r="1408" spans="1:4">
      <c r="A1408" s="107">
        <v>2</v>
      </c>
      <c r="B1408" s="1324"/>
      <c r="C1408" t="s">
        <v>445</v>
      </c>
      <c r="D1408" s="113">
        <v>0</v>
      </c>
    </row>
    <row r="1409" spans="1:4">
      <c r="A1409" s="107">
        <v>2</v>
      </c>
      <c r="B1409" s="1324"/>
      <c r="C1409" t="s">
        <v>446</v>
      </c>
      <c r="D1409" s="113">
        <v>11758.3</v>
      </c>
    </row>
    <row r="1410" spans="1:4">
      <c r="A1410" s="107">
        <v>2</v>
      </c>
      <c r="B1410" s="1324"/>
      <c r="C1410" t="s">
        <v>1253</v>
      </c>
      <c r="D1410" s="113">
        <v>0</v>
      </c>
    </row>
    <row r="1411" spans="1:4">
      <c r="A1411" s="107">
        <v>2</v>
      </c>
      <c r="B1411" s="1324"/>
      <c r="C1411" t="s">
        <v>421</v>
      </c>
      <c r="D1411" s="113">
        <v>0</v>
      </c>
    </row>
    <row r="1412" spans="1:4">
      <c r="A1412" s="107">
        <v>2</v>
      </c>
      <c r="B1412" s="1323" t="s">
        <v>963</v>
      </c>
      <c r="C1412" t="s">
        <v>444</v>
      </c>
      <c r="D1412" s="113">
        <v>11272.2</v>
      </c>
    </row>
    <row r="1413" spans="1:4">
      <c r="A1413" s="107">
        <v>2</v>
      </c>
      <c r="B1413" s="1324"/>
      <c r="C1413" t="s">
        <v>445</v>
      </c>
      <c r="D1413" s="113">
        <v>0</v>
      </c>
    </row>
    <row r="1414" spans="1:4">
      <c r="A1414" s="107">
        <v>2</v>
      </c>
      <c r="B1414" s="1324"/>
      <c r="C1414" t="s">
        <v>446</v>
      </c>
      <c r="D1414" s="113">
        <v>74115.399999999994</v>
      </c>
    </row>
    <row r="1415" spans="1:4">
      <c r="A1415" s="107">
        <v>2</v>
      </c>
      <c r="B1415" s="1324"/>
      <c r="C1415" t="s">
        <v>1253</v>
      </c>
      <c r="D1415" s="113">
        <v>0</v>
      </c>
    </row>
    <row r="1416" spans="1:4">
      <c r="A1416" s="107">
        <v>2</v>
      </c>
      <c r="B1416" s="1324"/>
      <c r="C1416" t="s">
        <v>421</v>
      </c>
      <c r="D1416" s="113">
        <v>0</v>
      </c>
    </row>
    <row r="1417" spans="1:4">
      <c r="A1417" s="107">
        <v>2</v>
      </c>
      <c r="B1417" s="1323" t="s">
        <v>964</v>
      </c>
      <c r="C1417" t="s">
        <v>444</v>
      </c>
      <c r="D1417" s="113">
        <v>0</v>
      </c>
    </row>
    <row r="1418" spans="1:4">
      <c r="A1418" s="107">
        <v>2</v>
      </c>
      <c r="B1418" s="1324"/>
      <c r="C1418" t="s">
        <v>445</v>
      </c>
      <c r="D1418" s="113">
        <v>0</v>
      </c>
    </row>
    <row r="1419" spans="1:4">
      <c r="A1419" s="107">
        <v>2</v>
      </c>
      <c r="B1419" s="1324"/>
      <c r="C1419" t="s">
        <v>446</v>
      </c>
      <c r="D1419" s="113">
        <v>130993</v>
      </c>
    </row>
    <row r="1420" spans="1:4">
      <c r="A1420" s="107">
        <v>2</v>
      </c>
      <c r="B1420" s="1324"/>
      <c r="C1420" t="s">
        <v>1253</v>
      </c>
      <c r="D1420" s="113">
        <v>0</v>
      </c>
    </row>
    <row r="1421" spans="1:4">
      <c r="A1421" s="107">
        <v>2</v>
      </c>
      <c r="B1421" s="1324"/>
      <c r="C1421" t="s">
        <v>421</v>
      </c>
      <c r="D1421" s="113">
        <v>0</v>
      </c>
    </row>
    <row r="1422" spans="1:4">
      <c r="A1422" s="107">
        <v>2</v>
      </c>
      <c r="B1422" s="1323" t="s">
        <v>965</v>
      </c>
      <c r="C1422" t="s">
        <v>444</v>
      </c>
      <c r="D1422" s="113">
        <v>0</v>
      </c>
    </row>
    <row r="1423" spans="1:4">
      <c r="A1423" s="107">
        <v>2</v>
      </c>
      <c r="B1423" s="1324"/>
      <c r="C1423" t="s">
        <v>445</v>
      </c>
      <c r="D1423" s="113">
        <v>0</v>
      </c>
    </row>
    <row r="1424" spans="1:4">
      <c r="A1424" s="107">
        <v>2</v>
      </c>
      <c r="B1424" s="1324"/>
      <c r="C1424" t="s">
        <v>446</v>
      </c>
      <c r="D1424" s="113">
        <v>7895.7</v>
      </c>
    </row>
    <row r="1425" spans="1:4">
      <c r="A1425" s="107">
        <v>2</v>
      </c>
      <c r="B1425" s="1324"/>
      <c r="C1425" t="s">
        <v>1253</v>
      </c>
      <c r="D1425" s="113">
        <v>0</v>
      </c>
    </row>
    <row r="1426" spans="1:4">
      <c r="A1426" s="107">
        <v>2</v>
      </c>
      <c r="B1426" s="1324"/>
      <c r="C1426" t="s">
        <v>421</v>
      </c>
      <c r="D1426" s="113">
        <v>0</v>
      </c>
    </row>
    <row r="1427" spans="1:4">
      <c r="A1427" s="107">
        <v>10</v>
      </c>
      <c r="B1427" s="1323" t="s">
        <v>966</v>
      </c>
      <c r="C1427" t="s">
        <v>444</v>
      </c>
      <c r="D1427" s="113">
        <v>0</v>
      </c>
    </row>
    <row r="1428" spans="1:4">
      <c r="A1428" s="107">
        <v>10</v>
      </c>
      <c r="B1428" s="1324"/>
      <c r="C1428" t="s">
        <v>445</v>
      </c>
      <c r="D1428" s="113">
        <v>0</v>
      </c>
    </row>
    <row r="1429" spans="1:4">
      <c r="A1429" s="107">
        <v>10</v>
      </c>
      <c r="B1429" s="1324"/>
      <c r="C1429" t="s">
        <v>446</v>
      </c>
      <c r="D1429" s="113">
        <v>123553.9</v>
      </c>
    </row>
    <row r="1430" spans="1:4">
      <c r="A1430" s="107">
        <v>10</v>
      </c>
      <c r="B1430" s="1324"/>
      <c r="C1430" t="s">
        <v>1253</v>
      </c>
      <c r="D1430" s="113">
        <v>0</v>
      </c>
    </row>
    <row r="1431" spans="1:4">
      <c r="A1431" s="107">
        <v>10</v>
      </c>
      <c r="B1431" s="1324"/>
      <c r="C1431" t="s">
        <v>421</v>
      </c>
      <c r="D1431" s="113">
        <v>0</v>
      </c>
    </row>
    <row r="1432" spans="1:4">
      <c r="A1432" s="107">
        <v>2</v>
      </c>
      <c r="B1432" s="1324" t="s">
        <v>1548</v>
      </c>
      <c r="C1432" t="s">
        <v>444</v>
      </c>
      <c r="D1432" s="113">
        <v>0</v>
      </c>
    </row>
    <row r="1433" spans="1:4">
      <c r="A1433" s="107">
        <v>2</v>
      </c>
      <c r="B1433" s="1324"/>
      <c r="C1433" t="s">
        <v>445</v>
      </c>
      <c r="D1433" s="113">
        <v>0</v>
      </c>
    </row>
    <row r="1434" spans="1:4">
      <c r="A1434" s="107">
        <v>2</v>
      </c>
      <c r="B1434" s="1324"/>
      <c r="C1434" t="s">
        <v>446</v>
      </c>
      <c r="D1434" s="113">
        <v>9371.4</v>
      </c>
    </row>
    <row r="1435" spans="1:4">
      <c r="A1435" s="107">
        <v>2</v>
      </c>
      <c r="B1435" s="1324"/>
      <c r="C1435" t="s">
        <v>1253</v>
      </c>
      <c r="D1435" s="113">
        <v>0</v>
      </c>
    </row>
    <row r="1436" spans="1:4">
      <c r="A1436" s="107">
        <v>2</v>
      </c>
      <c r="B1436" s="1325"/>
      <c r="C1436" t="s">
        <v>421</v>
      </c>
      <c r="D1436" s="113">
        <v>0</v>
      </c>
    </row>
    <row r="1437" spans="1:4">
      <c r="A1437" s="107">
        <v>1</v>
      </c>
      <c r="B1437" s="1323" t="s">
        <v>967</v>
      </c>
      <c r="C1437" t="s">
        <v>444</v>
      </c>
      <c r="D1437" s="113">
        <v>361460.6</v>
      </c>
    </row>
    <row r="1438" spans="1:4">
      <c r="A1438" s="107">
        <v>1</v>
      </c>
      <c r="B1438" s="1324"/>
      <c r="C1438" t="s">
        <v>445</v>
      </c>
      <c r="D1438" s="113">
        <v>0</v>
      </c>
    </row>
    <row r="1439" spans="1:4">
      <c r="A1439" s="107">
        <v>1</v>
      </c>
      <c r="B1439" s="1324"/>
      <c r="C1439" t="s">
        <v>446</v>
      </c>
      <c r="D1439" s="113">
        <v>32232.5</v>
      </c>
    </row>
    <row r="1440" spans="1:4">
      <c r="A1440" s="107">
        <v>1</v>
      </c>
      <c r="B1440" s="1324"/>
      <c r="C1440" t="s">
        <v>1253</v>
      </c>
      <c r="D1440" s="113">
        <v>0</v>
      </c>
    </row>
    <row r="1441" spans="1:4">
      <c r="A1441" s="107">
        <v>1</v>
      </c>
      <c r="B1441" s="1324"/>
      <c r="C1441" t="s">
        <v>421</v>
      </c>
      <c r="D1441" s="113">
        <v>0</v>
      </c>
    </row>
    <row r="1442" spans="1:4">
      <c r="A1442" s="107">
        <v>2</v>
      </c>
      <c r="B1442" s="1323" t="s">
        <v>968</v>
      </c>
      <c r="C1442" t="s">
        <v>444</v>
      </c>
      <c r="D1442" s="113">
        <v>0</v>
      </c>
    </row>
    <row r="1443" spans="1:4">
      <c r="A1443" s="107">
        <v>2</v>
      </c>
      <c r="B1443" s="1324"/>
      <c r="C1443" t="s">
        <v>445</v>
      </c>
      <c r="D1443" s="113">
        <v>0</v>
      </c>
    </row>
    <row r="1444" spans="1:4">
      <c r="A1444" s="107">
        <v>2</v>
      </c>
      <c r="B1444" s="1324"/>
      <c r="C1444" t="s">
        <v>446</v>
      </c>
      <c r="D1444" s="113">
        <v>30234.2</v>
      </c>
    </row>
    <row r="1445" spans="1:4">
      <c r="A1445" s="107">
        <v>2</v>
      </c>
      <c r="B1445" s="1324"/>
      <c r="C1445" t="s">
        <v>1253</v>
      </c>
      <c r="D1445" s="113">
        <v>0</v>
      </c>
    </row>
    <row r="1446" spans="1:4">
      <c r="A1446" s="107">
        <v>2</v>
      </c>
      <c r="B1446" s="1324"/>
      <c r="C1446" t="s">
        <v>421</v>
      </c>
      <c r="D1446" s="113">
        <v>0</v>
      </c>
    </row>
    <row r="1447" spans="1:4">
      <c r="A1447" s="107">
        <v>2</v>
      </c>
      <c r="B1447" s="1323" t="s">
        <v>969</v>
      </c>
      <c r="C1447" t="s">
        <v>444</v>
      </c>
      <c r="D1447" s="113">
        <v>0</v>
      </c>
    </row>
    <row r="1448" spans="1:4">
      <c r="A1448" s="107">
        <v>2</v>
      </c>
      <c r="B1448" s="1324"/>
      <c r="C1448" t="s">
        <v>445</v>
      </c>
      <c r="D1448" s="113">
        <v>0</v>
      </c>
    </row>
    <row r="1449" spans="1:4">
      <c r="A1449" s="107">
        <v>2</v>
      </c>
      <c r="B1449" s="1324"/>
      <c r="C1449" t="s">
        <v>446</v>
      </c>
      <c r="D1449" s="113">
        <v>12447.1</v>
      </c>
    </row>
    <row r="1450" spans="1:4">
      <c r="A1450" s="107">
        <v>2</v>
      </c>
      <c r="B1450" s="1324"/>
      <c r="C1450" t="s">
        <v>1253</v>
      </c>
      <c r="D1450" s="113">
        <v>0</v>
      </c>
    </row>
    <row r="1451" spans="1:4">
      <c r="A1451" s="107">
        <v>2</v>
      </c>
      <c r="B1451" s="1324"/>
      <c r="C1451" t="s">
        <v>421</v>
      </c>
      <c r="D1451" s="113">
        <v>0</v>
      </c>
    </row>
    <row r="1452" spans="1:4">
      <c r="A1452" s="107">
        <v>2</v>
      </c>
      <c r="B1452" s="1323" t="s">
        <v>970</v>
      </c>
      <c r="C1452" t="s">
        <v>444</v>
      </c>
      <c r="D1452" s="113">
        <v>1965.6</v>
      </c>
    </row>
    <row r="1453" spans="1:4">
      <c r="A1453" s="107">
        <v>2</v>
      </c>
      <c r="B1453" s="1324"/>
      <c r="C1453" t="s">
        <v>445</v>
      </c>
      <c r="D1453" s="113">
        <v>0</v>
      </c>
    </row>
    <row r="1454" spans="1:4">
      <c r="A1454" s="107">
        <v>2</v>
      </c>
      <c r="B1454" s="1324"/>
      <c r="C1454" t="s">
        <v>446</v>
      </c>
      <c r="D1454" s="113">
        <v>25122.1</v>
      </c>
    </row>
    <row r="1455" spans="1:4">
      <c r="A1455" s="107">
        <v>2</v>
      </c>
      <c r="B1455" s="1324"/>
      <c r="C1455" t="s">
        <v>1253</v>
      </c>
      <c r="D1455" s="113">
        <v>0</v>
      </c>
    </row>
    <row r="1456" spans="1:4">
      <c r="A1456" s="107">
        <v>2</v>
      </c>
      <c r="B1456" s="1324"/>
      <c r="C1456" t="s">
        <v>421</v>
      </c>
      <c r="D1456" s="113">
        <v>0</v>
      </c>
    </row>
    <row r="1457" spans="1:4">
      <c r="A1457" s="107">
        <v>2</v>
      </c>
      <c r="B1457" s="1323" t="s">
        <v>971</v>
      </c>
      <c r="C1457" t="s">
        <v>444</v>
      </c>
      <c r="D1457" s="113">
        <v>0</v>
      </c>
    </row>
    <row r="1458" spans="1:4">
      <c r="A1458" s="107">
        <v>2</v>
      </c>
      <c r="B1458" s="1324"/>
      <c r="C1458" t="s">
        <v>445</v>
      </c>
      <c r="D1458" s="113">
        <v>0</v>
      </c>
    </row>
    <row r="1459" spans="1:4">
      <c r="A1459" s="107">
        <v>2</v>
      </c>
      <c r="B1459" s="1324"/>
      <c r="C1459" t="s">
        <v>446</v>
      </c>
      <c r="D1459" s="113">
        <v>27508.1</v>
      </c>
    </row>
    <row r="1460" spans="1:4">
      <c r="A1460" s="107">
        <v>2</v>
      </c>
      <c r="B1460" s="1324"/>
      <c r="C1460" t="s">
        <v>1253</v>
      </c>
      <c r="D1460" s="113">
        <v>0</v>
      </c>
    </row>
    <row r="1461" spans="1:4">
      <c r="A1461" s="107">
        <v>2</v>
      </c>
      <c r="B1461" s="1324"/>
      <c r="C1461" t="s">
        <v>421</v>
      </c>
      <c r="D1461" s="113">
        <v>0</v>
      </c>
    </row>
    <row r="1462" spans="1:4">
      <c r="A1462" s="107">
        <v>2</v>
      </c>
      <c r="B1462" s="1323" t="s">
        <v>972</v>
      </c>
      <c r="C1462" t="s">
        <v>444</v>
      </c>
      <c r="D1462" s="113">
        <v>0</v>
      </c>
    </row>
    <row r="1463" spans="1:4">
      <c r="A1463" s="107">
        <v>2</v>
      </c>
      <c r="B1463" s="1324"/>
      <c r="C1463" t="s">
        <v>445</v>
      </c>
      <c r="D1463" s="113">
        <v>0</v>
      </c>
    </row>
    <row r="1464" spans="1:4">
      <c r="A1464" s="107">
        <v>2</v>
      </c>
      <c r="B1464" s="1324"/>
      <c r="C1464" t="s">
        <v>446</v>
      </c>
      <c r="D1464" s="113">
        <v>24083.9</v>
      </c>
    </row>
    <row r="1465" spans="1:4">
      <c r="A1465" s="107">
        <v>2</v>
      </c>
      <c r="B1465" s="1324"/>
      <c r="C1465" t="s">
        <v>1253</v>
      </c>
      <c r="D1465" s="113">
        <v>0</v>
      </c>
    </row>
    <row r="1466" spans="1:4">
      <c r="A1466" s="107">
        <v>2</v>
      </c>
      <c r="B1466" s="1324"/>
      <c r="C1466" t="s">
        <v>421</v>
      </c>
      <c r="D1466" s="113">
        <v>0</v>
      </c>
    </row>
    <row r="1467" spans="1:4">
      <c r="A1467" s="107">
        <v>1</v>
      </c>
      <c r="B1467" s="1323" t="s">
        <v>973</v>
      </c>
      <c r="C1467" t="s">
        <v>444</v>
      </c>
      <c r="D1467" s="113">
        <v>686039.9</v>
      </c>
    </row>
    <row r="1468" spans="1:4">
      <c r="A1468" s="107">
        <v>1</v>
      </c>
      <c r="B1468" s="1324"/>
      <c r="C1468" t="s">
        <v>445</v>
      </c>
      <c r="D1468" s="113">
        <v>0</v>
      </c>
    </row>
    <row r="1469" spans="1:4">
      <c r="A1469" s="107">
        <v>1</v>
      </c>
      <c r="B1469" s="1324"/>
      <c r="C1469" t="s">
        <v>446</v>
      </c>
      <c r="D1469" s="113">
        <v>22425</v>
      </c>
    </row>
    <row r="1470" spans="1:4">
      <c r="A1470" s="107">
        <v>1</v>
      </c>
      <c r="B1470" s="1324"/>
      <c r="C1470" t="s">
        <v>1253</v>
      </c>
      <c r="D1470" s="113">
        <v>0</v>
      </c>
    </row>
    <row r="1471" spans="1:4">
      <c r="A1471" s="107">
        <v>1</v>
      </c>
      <c r="B1471" s="1324"/>
      <c r="C1471" t="s">
        <v>421</v>
      </c>
      <c r="D1471" s="113">
        <v>1861.5</v>
      </c>
    </row>
    <row r="1472" spans="1:4">
      <c r="A1472" s="107">
        <v>1</v>
      </c>
      <c r="B1472" s="1323" t="s">
        <v>974</v>
      </c>
      <c r="C1472" t="s">
        <v>444</v>
      </c>
      <c r="D1472" s="113">
        <v>57194</v>
      </c>
    </row>
    <row r="1473" spans="1:4">
      <c r="A1473" s="107">
        <v>1</v>
      </c>
      <c r="B1473" s="1324"/>
      <c r="C1473" t="s">
        <v>445</v>
      </c>
      <c r="D1473" s="113">
        <v>0</v>
      </c>
    </row>
    <row r="1474" spans="1:4">
      <c r="A1474" s="107">
        <v>1</v>
      </c>
      <c r="B1474" s="1324"/>
      <c r="C1474" t="s">
        <v>446</v>
      </c>
      <c r="D1474" s="113">
        <v>34962</v>
      </c>
    </row>
    <row r="1475" spans="1:4">
      <c r="A1475" s="107">
        <v>1</v>
      </c>
      <c r="B1475" s="1324"/>
      <c r="C1475" t="s">
        <v>1253</v>
      </c>
      <c r="D1475" s="113">
        <v>0</v>
      </c>
    </row>
    <row r="1476" spans="1:4">
      <c r="A1476" s="107">
        <v>1</v>
      </c>
      <c r="B1476" s="1324"/>
      <c r="C1476" t="s">
        <v>421</v>
      </c>
      <c r="D1476" s="113">
        <v>0</v>
      </c>
    </row>
    <row r="1477" spans="1:4">
      <c r="A1477" s="107">
        <v>2</v>
      </c>
      <c r="B1477" s="1323" t="s">
        <v>975</v>
      </c>
      <c r="C1477" t="s">
        <v>444</v>
      </c>
      <c r="D1477" s="113">
        <v>0</v>
      </c>
    </row>
    <row r="1478" spans="1:4">
      <c r="A1478" s="107">
        <v>2</v>
      </c>
      <c r="B1478" s="1324"/>
      <c r="C1478" t="s">
        <v>445</v>
      </c>
      <c r="D1478" s="113">
        <v>0</v>
      </c>
    </row>
    <row r="1479" spans="1:4">
      <c r="A1479" s="107">
        <v>2</v>
      </c>
      <c r="B1479" s="1324"/>
      <c r="C1479" t="s">
        <v>446</v>
      </c>
      <c r="D1479" s="113">
        <v>10996.6</v>
      </c>
    </row>
    <row r="1480" spans="1:4">
      <c r="A1480" s="107">
        <v>2</v>
      </c>
      <c r="B1480" s="1324"/>
      <c r="C1480" t="s">
        <v>1253</v>
      </c>
      <c r="D1480" s="113">
        <v>0</v>
      </c>
    </row>
    <row r="1481" spans="1:4">
      <c r="A1481" s="107">
        <v>2</v>
      </c>
      <c r="B1481" s="1324"/>
      <c r="C1481" t="s">
        <v>421</v>
      </c>
      <c r="D1481" s="113">
        <v>0</v>
      </c>
    </row>
    <row r="1482" spans="1:4">
      <c r="A1482" s="107">
        <v>2</v>
      </c>
      <c r="B1482" s="1323" t="s">
        <v>976</v>
      </c>
      <c r="C1482" t="s">
        <v>444</v>
      </c>
      <c r="D1482" s="113">
        <v>0</v>
      </c>
    </row>
    <row r="1483" spans="1:4">
      <c r="A1483" s="107">
        <v>2</v>
      </c>
      <c r="B1483" s="1324"/>
      <c r="C1483" t="s">
        <v>445</v>
      </c>
      <c r="D1483" s="113">
        <v>0</v>
      </c>
    </row>
    <row r="1484" spans="1:4">
      <c r="A1484" s="107">
        <v>2</v>
      </c>
      <c r="B1484" s="1324"/>
      <c r="C1484" t="s">
        <v>446</v>
      </c>
      <c r="D1484" s="113">
        <v>27449.9</v>
      </c>
    </row>
    <row r="1485" spans="1:4">
      <c r="A1485" s="107">
        <v>2</v>
      </c>
      <c r="B1485" s="1324"/>
      <c r="C1485" t="s">
        <v>1253</v>
      </c>
      <c r="D1485" s="113">
        <v>0</v>
      </c>
    </row>
    <row r="1486" spans="1:4">
      <c r="A1486" s="107">
        <v>2</v>
      </c>
      <c r="B1486" s="1324"/>
      <c r="C1486" t="s">
        <v>421</v>
      </c>
      <c r="D1486" s="113">
        <v>0</v>
      </c>
    </row>
    <row r="1487" spans="1:4">
      <c r="A1487" s="107">
        <v>2</v>
      </c>
      <c r="B1487" s="1323" t="s">
        <v>977</v>
      </c>
      <c r="C1487" t="s">
        <v>444</v>
      </c>
      <c r="D1487" s="113">
        <v>0</v>
      </c>
    </row>
    <row r="1488" spans="1:4">
      <c r="A1488" s="107">
        <v>2</v>
      </c>
      <c r="B1488" s="1324"/>
      <c r="C1488" t="s">
        <v>445</v>
      </c>
      <c r="D1488" s="113">
        <v>0</v>
      </c>
    </row>
    <row r="1489" spans="1:4">
      <c r="A1489" s="107">
        <v>2</v>
      </c>
      <c r="B1489" s="1324"/>
      <c r="C1489" t="s">
        <v>446</v>
      </c>
      <c r="D1489" s="113">
        <v>25356.5</v>
      </c>
    </row>
    <row r="1490" spans="1:4">
      <c r="A1490" s="107">
        <v>2</v>
      </c>
      <c r="B1490" s="1324"/>
      <c r="C1490" t="s">
        <v>1253</v>
      </c>
      <c r="D1490" s="113">
        <v>0</v>
      </c>
    </row>
    <row r="1491" spans="1:4">
      <c r="A1491" s="107">
        <v>2</v>
      </c>
      <c r="B1491" s="1324"/>
      <c r="C1491" t="s">
        <v>421</v>
      </c>
      <c r="D1491" s="113">
        <v>0</v>
      </c>
    </row>
    <row r="1492" spans="1:4">
      <c r="A1492" s="107">
        <v>1</v>
      </c>
      <c r="B1492" s="1323" t="s">
        <v>978</v>
      </c>
      <c r="C1492" t="s">
        <v>444</v>
      </c>
      <c r="D1492" s="113">
        <v>633262.19999999995</v>
      </c>
    </row>
    <row r="1493" spans="1:4">
      <c r="A1493" s="107">
        <v>1</v>
      </c>
      <c r="B1493" s="1324"/>
      <c r="C1493" t="s">
        <v>445</v>
      </c>
      <c r="D1493" s="113">
        <v>2863.6</v>
      </c>
    </row>
    <row r="1494" spans="1:4">
      <c r="A1494" s="107">
        <v>1</v>
      </c>
      <c r="B1494" s="1324"/>
      <c r="C1494" t="s">
        <v>446</v>
      </c>
      <c r="D1494" s="113">
        <v>0</v>
      </c>
    </row>
    <row r="1495" spans="1:4">
      <c r="A1495" s="107">
        <v>1</v>
      </c>
      <c r="B1495" s="1324"/>
      <c r="C1495" t="s">
        <v>1253</v>
      </c>
      <c r="D1495" s="113">
        <v>0</v>
      </c>
    </row>
    <row r="1496" spans="1:4">
      <c r="A1496" s="107">
        <v>1</v>
      </c>
      <c r="B1496" s="1324"/>
      <c r="C1496" t="s">
        <v>421</v>
      </c>
      <c r="D1496" s="113">
        <v>0</v>
      </c>
    </row>
    <row r="1497" spans="1:4">
      <c r="A1497" s="107">
        <v>4</v>
      </c>
      <c r="B1497" s="1323" t="s">
        <v>979</v>
      </c>
      <c r="C1497" t="s">
        <v>444</v>
      </c>
      <c r="D1497" s="113">
        <v>769533.9</v>
      </c>
    </row>
    <row r="1498" spans="1:4">
      <c r="A1498" s="107">
        <v>4</v>
      </c>
      <c r="B1498" s="1324"/>
      <c r="C1498" t="s">
        <v>445</v>
      </c>
      <c r="D1498" s="113">
        <v>0</v>
      </c>
    </row>
    <row r="1499" spans="1:4">
      <c r="A1499" s="107">
        <v>4</v>
      </c>
      <c r="B1499" s="1324"/>
      <c r="C1499" t="s">
        <v>446</v>
      </c>
      <c r="D1499" s="113">
        <v>0</v>
      </c>
    </row>
    <row r="1500" spans="1:4">
      <c r="A1500" s="107">
        <v>4</v>
      </c>
      <c r="B1500" s="1324"/>
      <c r="C1500" t="s">
        <v>1253</v>
      </c>
      <c r="D1500" s="113">
        <v>0</v>
      </c>
    </row>
    <row r="1501" spans="1:4">
      <c r="A1501" s="107">
        <v>4</v>
      </c>
      <c r="B1501" s="1324"/>
      <c r="C1501" t="s">
        <v>421</v>
      </c>
      <c r="D1501" s="113">
        <v>0</v>
      </c>
    </row>
    <row r="1502" spans="1:4">
      <c r="A1502" s="107">
        <v>1</v>
      </c>
      <c r="B1502" s="1323" t="s">
        <v>980</v>
      </c>
      <c r="C1502" t="s">
        <v>444</v>
      </c>
      <c r="D1502" s="113">
        <v>1286006.3999999999</v>
      </c>
    </row>
    <row r="1503" spans="1:4">
      <c r="A1503" s="107">
        <v>1</v>
      </c>
      <c r="B1503" s="1324"/>
      <c r="C1503" t="s">
        <v>445</v>
      </c>
      <c r="D1503" s="113">
        <v>103731</v>
      </c>
    </row>
    <row r="1504" spans="1:4">
      <c r="A1504" s="107">
        <v>1</v>
      </c>
      <c r="B1504" s="1324"/>
      <c r="C1504" t="s">
        <v>446</v>
      </c>
      <c r="D1504" s="113">
        <v>0</v>
      </c>
    </row>
    <row r="1505" spans="1:4">
      <c r="A1505" s="107">
        <v>1</v>
      </c>
      <c r="B1505" s="1324"/>
      <c r="C1505" t="s">
        <v>1253</v>
      </c>
      <c r="D1505" s="113">
        <v>0</v>
      </c>
    </row>
    <row r="1506" spans="1:4">
      <c r="A1506" s="107">
        <v>1</v>
      </c>
      <c r="B1506" s="1324"/>
      <c r="C1506" t="s">
        <v>421</v>
      </c>
      <c r="D1506" s="113">
        <v>19718.099999999999</v>
      </c>
    </row>
    <row r="1507" spans="1:4">
      <c r="A1507" s="107">
        <v>1</v>
      </c>
      <c r="B1507" s="1323" t="s">
        <v>981</v>
      </c>
      <c r="C1507" t="s">
        <v>444</v>
      </c>
      <c r="D1507" s="113">
        <v>1043239.5</v>
      </c>
    </row>
    <row r="1508" spans="1:4">
      <c r="A1508" s="107">
        <v>1</v>
      </c>
      <c r="B1508" s="1324"/>
      <c r="C1508" t="s">
        <v>445</v>
      </c>
      <c r="D1508" s="113">
        <v>341819</v>
      </c>
    </row>
    <row r="1509" spans="1:4">
      <c r="A1509" s="107">
        <v>1</v>
      </c>
      <c r="B1509" s="1324"/>
      <c r="C1509" t="s">
        <v>446</v>
      </c>
      <c r="D1509" s="113">
        <v>0</v>
      </c>
    </row>
    <row r="1510" spans="1:4">
      <c r="A1510" s="107">
        <v>1</v>
      </c>
      <c r="B1510" s="1324"/>
      <c r="C1510" t="s">
        <v>1253</v>
      </c>
      <c r="D1510" s="113">
        <v>0</v>
      </c>
    </row>
    <row r="1511" spans="1:4">
      <c r="A1511" s="107">
        <v>1</v>
      </c>
      <c r="B1511" s="1324"/>
      <c r="C1511" t="s">
        <v>421</v>
      </c>
      <c r="D1511" s="113">
        <v>0</v>
      </c>
    </row>
    <row r="1512" spans="1:4">
      <c r="A1512" s="107">
        <v>2</v>
      </c>
      <c r="B1512" s="1323" t="s">
        <v>982</v>
      </c>
      <c r="C1512" t="s">
        <v>444</v>
      </c>
      <c r="D1512" s="113">
        <v>0</v>
      </c>
    </row>
    <row r="1513" spans="1:4">
      <c r="A1513" s="107">
        <v>2</v>
      </c>
      <c r="B1513" s="1324"/>
      <c r="C1513" t="s">
        <v>445</v>
      </c>
      <c r="D1513" s="113">
        <v>0</v>
      </c>
    </row>
    <row r="1514" spans="1:4">
      <c r="A1514" s="107">
        <v>2</v>
      </c>
      <c r="B1514" s="1324"/>
      <c r="C1514" t="s">
        <v>446</v>
      </c>
      <c r="D1514" s="113">
        <v>15248.9</v>
      </c>
    </row>
    <row r="1515" spans="1:4">
      <c r="A1515" s="107">
        <v>2</v>
      </c>
      <c r="B1515" s="1324"/>
      <c r="C1515" t="s">
        <v>1253</v>
      </c>
      <c r="D1515" s="113">
        <v>0</v>
      </c>
    </row>
    <row r="1516" spans="1:4">
      <c r="A1516" s="107">
        <v>2</v>
      </c>
      <c r="B1516" s="1324"/>
      <c r="C1516" t="s">
        <v>421</v>
      </c>
      <c r="D1516" s="113">
        <v>0</v>
      </c>
    </row>
    <row r="1517" spans="1:4">
      <c r="A1517" s="107">
        <v>1</v>
      </c>
      <c r="B1517" s="1323" t="s">
        <v>983</v>
      </c>
      <c r="C1517" t="s">
        <v>444</v>
      </c>
      <c r="D1517" s="113">
        <v>645698.6</v>
      </c>
    </row>
    <row r="1518" spans="1:4">
      <c r="A1518" s="107">
        <v>1</v>
      </c>
      <c r="B1518" s="1324"/>
      <c r="C1518" t="s">
        <v>445</v>
      </c>
      <c r="D1518" s="113">
        <v>18140.3</v>
      </c>
    </row>
    <row r="1519" spans="1:4">
      <c r="A1519" s="107">
        <v>1</v>
      </c>
      <c r="B1519" s="1324"/>
      <c r="C1519" t="s">
        <v>446</v>
      </c>
      <c r="D1519" s="113">
        <v>205375.1</v>
      </c>
    </row>
    <row r="1520" spans="1:4">
      <c r="A1520" s="107">
        <v>1</v>
      </c>
      <c r="B1520" s="1324"/>
      <c r="C1520" t="s">
        <v>1253</v>
      </c>
      <c r="D1520" s="113">
        <v>0</v>
      </c>
    </row>
    <row r="1521" spans="1:4">
      <c r="A1521" s="107">
        <v>1</v>
      </c>
      <c r="B1521" s="1324"/>
      <c r="C1521" t="s">
        <v>421</v>
      </c>
      <c r="D1521" s="113">
        <v>4482</v>
      </c>
    </row>
    <row r="1522" spans="1:4">
      <c r="A1522" s="107">
        <v>1</v>
      </c>
      <c r="B1522" s="1323" t="s">
        <v>984</v>
      </c>
      <c r="C1522" t="s">
        <v>444</v>
      </c>
      <c r="D1522" s="113">
        <v>469787</v>
      </c>
    </row>
    <row r="1523" spans="1:4">
      <c r="A1523" s="107">
        <v>1</v>
      </c>
      <c r="B1523" s="1324"/>
      <c r="C1523" t="s">
        <v>445</v>
      </c>
      <c r="D1523" s="113">
        <v>18795</v>
      </c>
    </row>
    <row r="1524" spans="1:4">
      <c r="A1524" s="107">
        <v>1</v>
      </c>
      <c r="B1524" s="1324"/>
      <c r="C1524" t="s">
        <v>446</v>
      </c>
      <c r="D1524" s="113">
        <v>650</v>
      </c>
    </row>
    <row r="1525" spans="1:4">
      <c r="A1525" s="107">
        <v>1</v>
      </c>
      <c r="B1525" s="1324"/>
      <c r="C1525" t="s">
        <v>1253</v>
      </c>
      <c r="D1525" s="113">
        <v>0</v>
      </c>
    </row>
    <row r="1526" spans="1:4">
      <c r="A1526" s="107">
        <v>1</v>
      </c>
      <c r="B1526" s="1324"/>
      <c r="C1526" t="s">
        <v>421</v>
      </c>
      <c r="D1526" s="113">
        <v>17176</v>
      </c>
    </row>
    <row r="1527" spans="1:4">
      <c r="A1527" s="107">
        <v>7</v>
      </c>
      <c r="B1527" s="1323" t="s">
        <v>985</v>
      </c>
      <c r="C1527" t="s">
        <v>444</v>
      </c>
      <c r="D1527" s="113">
        <v>0</v>
      </c>
    </row>
    <row r="1528" spans="1:4">
      <c r="A1528" s="107">
        <v>7</v>
      </c>
      <c r="B1528" s="1324"/>
      <c r="C1528" t="s">
        <v>445</v>
      </c>
      <c r="D1528" s="113">
        <v>0</v>
      </c>
    </row>
    <row r="1529" spans="1:4">
      <c r="A1529" s="107">
        <v>7</v>
      </c>
      <c r="B1529" s="1324"/>
      <c r="C1529" t="s">
        <v>446</v>
      </c>
      <c r="D1529" s="113">
        <v>9950.1</v>
      </c>
    </row>
    <row r="1530" spans="1:4">
      <c r="A1530" s="107">
        <v>7</v>
      </c>
      <c r="B1530" s="1324"/>
      <c r="C1530" t="s">
        <v>1253</v>
      </c>
      <c r="D1530" s="113">
        <v>0</v>
      </c>
    </row>
    <row r="1531" spans="1:4">
      <c r="A1531" s="107">
        <v>7</v>
      </c>
      <c r="B1531" s="1324"/>
      <c r="C1531" t="s">
        <v>421</v>
      </c>
      <c r="D1531" s="113">
        <v>0</v>
      </c>
    </row>
    <row r="1532" spans="1:4">
      <c r="A1532" s="107">
        <v>4</v>
      </c>
      <c r="B1532" s="1323" t="s">
        <v>986</v>
      </c>
      <c r="C1532" t="s">
        <v>444</v>
      </c>
      <c r="D1532" s="113">
        <v>875685.4</v>
      </c>
    </row>
    <row r="1533" spans="1:4">
      <c r="A1533" s="107">
        <v>4</v>
      </c>
      <c r="B1533" s="1324"/>
      <c r="C1533" t="s">
        <v>445</v>
      </c>
      <c r="D1533" s="113">
        <v>16009.7</v>
      </c>
    </row>
    <row r="1534" spans="1:4">
      <c r="A1534" s="107">
        <v>4</v>
      </c>
      <c r="B1534" s="1324"/>
      <c r="C1534" t="s">
        <v>446</v>
      </c>
      <c r="D1534" s="113">
        <v>0</v>
      </c>
    </row>
    <row r="1535" spans="1:4">
      <c r="A1535" s="107">
        <v>4</v>
      </c>
      <c r="B1535" s="1324"/>
      <c r="C1535" t="s">
        <v>1253</v>
      </c>
      <c r="D1535" s="113">
        <v>0</v>
      </c>
    </row>
    <row r="1536" spans="1:4">
      <c r="A1536" s="107">
        <v>4</v>
      </c>
      <c r="B1536" s="1324"/>
      <c r="C1536" t="s">
        <v>421</v>
      </c>
      <c r="D1536" s="113">
        <v>0</v>
      </c>
    </row>
    <row r="1537" spans="1:4">
      <c r="A1537" s="107">
        <v>9</v>
      </c>
      <c r="B1537" s="1323" t="s">
        <v>987</v>
      </c>
      <c r="C1537" t="s">
        <v>444</v>
      </c>
      <c r="D1537" s="113">
        <v>110348.1</v>
      </c>
    </row>
    <row r="1538" spans="1:4">
      <c r="A1538" s="107">
        <v>9</v>
      </c>
      <c r="B1538" s="1324"/>
      <c r="C1538" t="s">
        <v>445</v>
      </c>
      <c r="D1538" s="113">
        <v>12497.8</v>
      </c>
    </row>
    <row r="1539" spans="1:4">
      <c r="A1539" s="107">
        <v>9</v>
      </c>
      <c r="B1539" s="1324"/>
      <c r="C1539" t="s">
        <v>446</v>
      </c>
      <c r="D1539" s="113">
        <v>88427.1</v>
      </c>
    </row>
    <row r="1540" spans="1:4">
      <c r="A1540" s="107">
        <v>9</v>
      </c>
      <c r="B1540" s="1324"/>
      <c r="C1540" t="s">
        <v>1253</v>
      </c>
      <c r="D1540" s="113">
        <v>0</v>
      </c>
    </row>
    <row r="1541" spans="1:4">
      <c r="A1541" s="107">
        <v>9</v>
      </c>
      <c r="B1541" s="1324"/>
      <c r="C1541" t="s">
        <v>421</v>
      </c>
      <c r="D1541" s="113">
        <v>0</v>
      </c>
    </row>
    <row r="1542" spans="1:4">
      <c r="A1542" s="107">
        <v>1</v>
      </c>
      <c r="B1542" s="1323" t="s">
        <v>988</v>
      </c>
      <c r="C1542" t="s">
        <v>444</v>
      </c>
      <c r="D1542" s="113">
        <v>15995.8</v>
      </c>
    </row>
    <row r="1543" spans="1:4">
      <c r="A1543" s="107">
        <v>1</v>
      </c>
      <c r="B1543" s="1324"/>
      <c r="C1543" t="s">
        <v>445</v>
      </c>
      <c r="D1543" s="113">
        <v>0</v>
      </c>
    </row>
    <row r="1544" spans="1:4">
      <c r="A1544" s="107">
        <v>1</v>
      </c>
      <c r="B1544" s="1324"/>
      <c r="C1544" t="s">
        <v>446</v>
      </c>
      <c r="D1544" s="113">
        <v>2038.2</v>
      </c>
    </row>
    <row r="1545" spans="1:4">
      <c r="A1545" s="107">
        <v>1</v>
      </c>
      <c r="B1545" s="1324"/>
      <c r="C1545" t="s">
        <v>1253</v>
      </c>
      <c r="D1545" s="113">
        <v>0</v>
      </c>
    </row>
    <row r="1546" spans="1:4">
      <c r="A1546" s="107">
        <v>1</v>
      </c>
      <c r="B1546" s="1324"/>
      <c r="C1546" t="s">
        <v>421</v>
      </c>
      <c r="D1546" s="113">
        <v>0</v>
      </c>
    </row>
    <row r="1547" spans="1:4">
      <c r="A1547" s="107">
        <v>3</v>
      </c>
      <c r="B1547" s="1323" t="s">
        <v>989</v>
      </c>
      <c r="C1547" t="s">
        <v>444</v>
      </c>
      <c r="D1547" s="113">
        <v>99271.9</v>
      </c>
    </row>
    <row r="1548" spans="1:4">
      <c r="A1548" s="107">
        <v>3</v>
      </c>
      <c r="B1548" s="1324"/>
      <c r="C1548" t="s">
        <v>445</v>
      </c>
      <c r="D1548" s="113">
        <v>0</v>
      </c>
    </row>
    <row r="1549" spans="1:4">
      <c r="A1549" s="107">
        <v>3</v>
      </c>
      <c r="B1549" s="1324"/>
      <c r="C1549" t="s">
        <v>446</v>
      </c>
      <c r="D1549" s="113">
        <v>40020.5</v>
      </c>
    </row>
    <row r="1550" spans="1:4">
      <c r="A1550" s="107">
        <v>3</v>
      </c>
      <c r="B1550" s="1324"/>
      <c r="C1550" t="s">
        <v>1253</v>
      </c>
      <c r="D1550" s="113">
        <v>0</v>
      </c>
    </row>
    <row r="1551" spans="1:4">
      <c r="A1551" s="107">
        <v>3</v>
      </c>
      <c r="B1551" s="1324"/>
      <c r="C1551" t="s">
        <v>421</v>
      </c>
      <c r="D1551" s="113">
        <v>0</v>
      </c>
    </row>
    <row r="1552" spans="1:4">
      <c r="A1552" s="107">
        <v>1</v>
      </c>
      <c r="B1552" s="1323" t="s">
        <v>990</v>
      </c>
      <c r="C1552" t="s">
        <v>444</v>
      </c>
      <c r="D1552" s="113">
        <v>15369.9</v>
      </c>
    </row>
    <row r="1553" spans="1:4">
      <c r="A1553" s="107">
        <v>1</v>
      </c>
      <c r="B1553" s="1324"/>
      <c r="C1553" t="s">
        <v>445</v>
      </c>
      <c r="D1553" s="113">
        <v>20819.5</v>
      </c>
    </row>
    <row r="1554" spans="1:4">
      <c r="A1554" s="107">
        <v>1</v>
      </c>
      <c r="B1554" s="1324"/>
      <c r="C1554" t="s">
        <v>446</v>
      </c>
      <c r="D1554" s="113">
        <v>0</v>
      </c>
    </row>
    <row r="1555" spans="1:4">
      <c r="A1555" s="107">
        <v>1</v>
      </c>
      <c r="B1555" s="1324"/>
      <c r="C1555" t="s">
        <v>1253</v>
      </c>
      <c r="D1555" s="113">
        <v>0</v>
      </c>
    </row>
    <row r="1556" spans="1:4">
      <c r="A1556" s="107">
        <v>1</v>
      </c>
      <c r="B1556" s="1324"/>
      <c r="C1556" t="s">
        <v>421</v>
      </c>
      <c r="D1556" s="113">
        <v>0</v>
      </c>
    </row>
    <row r="1557" spans="1:4">
      <c r="A1557" s="107">
        <v>1</v>
      </c>
      <c r="B1557" s="1323" t="s">
        <v>991</v>
      </c>
      <c r="C1557" t="s">
        <v>444</v>
      </c>
      <c r="D1557" s="113">
        <v>32589.8</v>
      </c>
    </row>
    <row r="1558" spans="1:4">
      <c r="A1558" s="107">
        <v>1</v>
      </c>
      <c r="B1558" s="1324"/>
      <c r="C1558" t="s">
        <v>445</v>
      </c>
      <c r="D1558" s="113">
        <v>24250.5</v>
      </c>
    </row>
    <row r="1559" spans="1:4">
      <c r="A1559" s="107">
        <v>1</v>
      </c>
      <c r="B1559" s="1324"/>
      <c r="C1559" t="s">
        <v>446</v>
      </c>
      <c r="D1559" s="113">
        <v>2449</v>
      </c>
    </row>
    <row r="1560" spans="1:4">
      <c r="A1560" s="107">
        <v>1</v>
      </c>
      <c r="B1560" s="1324"/>
      <c r="C1560" t="s">
        <v>1253</v>
      </c>
      <c r="D1560" s="113">
        <v>0</v>
      </c>
    </row>
    <row r="1561" spans="1:4">
      <c r="A1561" s="107">
        <v>1</v>
      </c>
      <c r="B1561" s="1324"/>
      <c r="C1561" t="s">
        <v>421</v>
      </c>
      <c r="D1561" s="113">
        <v>0</v>
      </c>
    </row>
    <row r="1562" spans="1:4">
      <c r="A1562" s="107">
        <v>1</v>
      </c>
      <c r="B1562" s="1323" t="s">
        <v>992</v>
      </c>
      <c r="C1562" t="s">
        <v>444</v>
      </c>
      <c r="D1562" s="113">
        <v>17702.3</v>
      </c>
    </row>
    <row r="1563" spans="1:4">
      <c r="A1563" s="107">
        <v>1</v>
      </c>
      <c r="B1563" s="1324"/>
      <c r="C1563" t="s">
        <v>445</v>
      </c>
      <c r="D1563" s="113">
        <v>0</v>
      </c>
    </row>
    <row r="1564" spans="1:4">
      <c r="A1564" s="107">
        <v>1</v>
      </c>
      <c r="B1564" s="1324"/>
      <c r="C1564" t="s">
        <v>446</v>
      </c>
      <c r="D1564" s="113">
        <v>0</v>
      </c>
    </row>
    <row r="1565" spans="1:4">
      <c r="A1565" s="107">
        <v>1</v>
      </c>
      <c r="B1565" s="1324"/>
      <c r="C1565" t="s">
        <v>1253</v>
      </c>
      <c r="D1565" s="113">
        <v>0</v>
      </c>
    </row>
    <row r="1566" spans="1:4">
      <c r="A1566" s="107">
        <v>1</v>
      </c>
      <c r="B1566" s="1325"/>
      <c r="C1566" t="s">
        <v>421</v>
      </c>
      <c r="D1566" s="113">
        <v>0</v>
      </c>
    </row>
    <row r="1567" spans="1:4">
      <c r="A1567" s="107">
        <v>1</v>
      </c>
      <c r="B1567" s="1323" t="s">
        <v>993</v>
      </c>
      <c r="C1567" t="s">
        <v>444</v>
      </c>
      <c r="D1567" s="113">
        <v>24770</v>
      </c>
    </row>
    <row r="1568" spans="1:4">
      <c r="A1568" s="107">
        <v>1</v>
      </c>
      <c r="B1568" s="1324"/>
      <c r="C1568" t="s">
        <v>445</v>
      </c>
      <c r="D1568" s="113">
        <v>0</v>
      </c>
    </row>
    <row r="1569" spans="1:4">
      <c r="A1569" s="107">
        <v>1</v>
      </c>
      <c r="B1569" s="1324"/>
      <c r="C1569" t="s">
        <v>446</v>
      </c>
      <c r="D1569" s="113">
        <v>0</v>
      </c>
    </row>
    <row r="1570" spans="1:4">
      <c r="A1570" s="107">
        <v>1</v>
      </c>
      <c r="B1570" s="1324"/>
      <c r="C1570" t="s">
        <v>1253</v>
      </c>
      <c r="D1570" s="113">
        <v>0</v>
      </c>
    </row>
    <row r="1571" spans="1:4">
      <c r="A1571" s="107">
        <v>1</v>
      </c>
      <c r="B1571" s="1325"/>
      <c r="C1571" t="s">
        <v>421</v>
      </c>
      <c r="D1571" s="113">
        <v>0</v>
      </c>
    </row>
    <row r="1572" spans="1:4">
      <c r="A1572" s="107">
        <v>1</v>
      </c>
      <c r="B1572" s="1323" t="s">
        <v>994</v>
      </c>
      <c r="C1572" t="s">
        <v>444</v>
      </c>
      <c r="D1572" s="113">
        <v>111807.9</v>
      </c>
    </row>
    <row r="1573" spans="1:4">
      <c r="A1573" s="107">
        <v>1</v>
      </c>
      <c r="B1573" s="1324"/>
      <c r="C1573" t="s">
        <v>445</v>
      </c>
      <c r="D1573" s="113">
        <v>0</v>
      </c>
    </row>
    <row r="1574" spans="1:4">
      <c r="A1574" s="107">
        <v>1</v>
      </c>
      <c r="B1574" s="1324"/>
      <c r="C1574" t="s">
        <v>446</v>
      </c>
      <c r="D1574" s="113">
        <v>0</v>
      </c>
    </row>
    <row r="1575" spans="1:4">
      <c r="A1575" s="107">
        <v>1</v>
      </c>
      <c r="B1575" s="1324"/>
      <c r="C1575" t="s">
        <v>1253</v>
      </c>
      <c r="D1575" s="113">
        <v>0</v>
      </c>
    </row>
    <row r="1576" spans="1:4">
      <c r="A1576" s="107">
        <v>1</v>
      </c>
      <c r="B1576" s="1324"/>
      <c r="C1576" t="s">
        <v>421</v>
      </c>
      <c r="D1576" s="113">
        <v>0</v>
      </c>
    </row>
    <row r="1577" spans="1:4">
      <c r="A1577" s="107">
        <v>11</v>
      </c>
      <c r="B1577" s="1323" t="s">
        <v>995</v>
      </c>
      <c r="C1577" t="s">
        <v>444</v>
      </c>
      <c r="D1577" s="113">
        <v>74549</v>
      </c>
    </row>
    <row r="1578" spans="1:4">
      <c r="A1578" s="107">
        <v>11</v>
      </c>
      <c r="B1578" s="1324"/>
      <c r="C1578" t="s">
        <v>445</v>
      </c>
      <c r="D1578" s="113">
        <v>483741</v>
      </c>
    </row>
    <row r="1579" spans="1:4">
      <c r="A1579" s="107">
        <v>11</v>
      </c>
      <c r="B1579" s="1324"/>
      <c r="C1579" t="s">
        <v>446</v>
      </c>
      <c r="D1579" s="113">
        <v>0</v>
      </c>
    </row>
    <row r="1580" spans="1:4">
      <c r="A1580" s="107">
        <v>11</v>
      </c>
      <c r="B1580" s="1324"/>
      <c r="C1580" t="s">
        <v>1253</v>
      </c>
      <c r="D1580" s="113">
        <v>0</v>
      </c>
    </row>
    <row r="1581" spans="1:4">
      <c r="A1581" s="107">
        <v>11</v>
      </c>
      <c r="B1581" s="1324"/>
      <c r="C1581" t="s">
        <v>421</v>
      </c>
      <c r="D1581" s="113">
        <v>0</v>
      </c>
    </row>
    <row r="1582" spans="1:4">
      <c r="A1582" s="107">
        <v>1</v>
      </c>
      <c r="B1582" s="1323" t="s">
        <v>996</v>
      </c>
      <c r="C1582" t="s">
        <v>444</v>
      </c>
      <c r="D1582" s="113">
        <v>127.4</v>
      </c>
    </row>
    <row r="1583" spans="1:4">
      <c r="A1583" s="107">
        <v>1</v>
      </c>
      <c r="B1583" s="1324"/>
      <c r="C1583" t="s">
        <v>445</v>
      </c>
      <c r="D1583" s="113">
        <v>99590.399999999994</v>
      </c>
    </row>
    <row r="1584" spans="1:4">
      <c r="A1584" s="107">
        <v>1</v>
      </c>
      <c r="B1584" s="1324"/>
      <c r="C1584" t="s">
        <v>446</v>
      </c>
      <c r="D1584" s="113">
        <v>822.6</v>
      </c>
    </row>
    <row r="1585" spans="1:4">
      <c r="A1585" s="107">
        <v>1</v>
      </c>
      <c r="B1585" s="1324"/>
      <c r="C1585" t="s">
        <v>1253</v>
      </c>
      <c r="D1585" s="113">
        <v>0</v>
      </c>
    </row>
    <row r="1586" spans="1:4">
      <c r="A1586" s="107">
        <v>1</v>
      </c>
      <c r="B1586" s="1324"/>
      <c r="C1586" t="s">
        <v>421</v>
      </c>
      <c r="D1586" s="113">
        <v>0</v>
      </c>
    </row>
    <row r="1587" spans="1:4">
      <c r="A1587" s="107">
        <v>2</v>
      </c>
      <c r="B1587" s="1323" t="s">
        <v>997</v>
      </c>
      <c r="C1587" t="s">
        <v>444</v>
      </c>
      <c r="D1587" s="113">
        <v>51447</v>
      </c>
    </row>
    <row r="1588" spans="1:4">
      <c r="A1588" s="107">
        <v>2</v>
      </c>
      <c r="B1588" s="1324"/>
      <c r="C1588" t="s">
        <v>445</v>
      </c>
      <c r="D1588" s="113">
        <v>0</v>
      </c>
    </row>
    <row r="1589" spans="1:4">
      <c r="A1589" s="107">
        <v>2</v>
      </c>
      <c r="B1589" s="1324"/>
      <c r="C1589" t="s">
        <v>446</v>
      </c>
      <c r="D1589" s="113">
        <v>5838</v>
      </c>
    </row>
    <row r="1590" spans="1:4">
      <c r="A1590" s="107">
        <v>2</v>
      </c>
      <c r="B1590" s="1324"/>
      <c r="C1590" t="s">
        <v>1253</v>
      </c>
      <c r="D1590" s="113">
        <v>0</v>
      </c>
    </row>
    <row r="1591" spans="1:4">
      <c r="A1591" s="107">
        <v>2</v>
      </c>
      <c r="B1591" s="1324"/>
      <c r="C1591" t="s">
        <v>421</v>
      </c>
      <c r="D1591" s="113">
        <v>0</v>
      </c>
    </row>
    <row r="1592" spans="1:4">
      <c r="A1592" s="107">
        <v>4</v>
      </c>
      <c r="B1592" s="1324" t="s">
        <v>1549</v>
      </c>
      <c r="C1592" t="s">
        <v>444</v>
      </c>
      <c r="D1592" s="113">
        <v>585000</v>
      </c>
    </row>
    <row r="1593" spans="1:4">
      <c r="A1593" s="107">
        <v>4</v>
      </c>
      <c r="B1593" s="1324"/>
      <c r="C1593" t="s">
        <v>445</v>
      </c>
      <c r="D1593" s="113">
        <v>0</v>
      </c>
    </row>
    <row r="1594" spans="1:4">
      <c r="A1594" s="107">
        <v>4</v>
      </c>
      <c r="B1594" s="1324"/>
      <c r="C1594" t="s">
        <v>446</v>
      </c>
      <c r="D1594" s="113">
        <v>0</v>
      </c>
    </row>
    <row r="1595" spans="1:4">
      <c r="A1595" s="107">
        <v>4</v>
      </c>
      <c r="B1595" s="1324"/>
      <c r="C1595" t="s">
        <v>1253</v>
      </c>
      <c r="D1595" s="113">
        <v>0</v>
      </c>
    </row>
    <row r="1596" spans="1:4">
      <c r="A1596" s="107">
        <v>4</v>
      </c>
      <c r="B1596" s="1325"/>
      <c r="C1596" t="s">
        <v>421</v>
      </c>
      <c r="D1596" s="113">
        <v>0</v>
      </c>
    </row>
    <row r="1597" spans="1:4">
      <c r="A1597" s="107">
        <v>2</v>
      </c>
      <c r="B1597" s="1323" t="s">
        <v>998</v>
      </c>
      <c r="C1597" t="s">
        <v>444</v>
      </c>
      <c r="D1597" s="113">
        <v>0</v>
      </c>
    </row>
    <row r="1598" spans="1:4">
      <c r="A1598" s="107">
        <v>2</v>
      </c>
      <c r="B1598" s="1324"/>
      <c r="C1598" t="s">
        <v>445</v>
      </c>
      <c r="D1598" s="113">
        <v>0</v>
      </c>
    </row>
    <row r="1599" spans="1:4">
      <c r="A1599" s="107">
        <v>2</v>
      </c>
      <c r="B1599" s="1324"/>
      <c r="C1599" t="s">
        <v>446</v>
      </c>
      <c r="D1599" s="113">
        <v>306723.90000000002</v>
      </c>
    </row>
    <row r="1600" spans="1:4">
      <c r="A1600" s="107">
        <v>2</v>
      </c>
      <c r="B1600" s="1324"/>
      <c r="C1600" t="s">
        <v>1253</v>
      </c>
      <c r="D1600" s="113">
        <v>0</v>
      </c>
    </row>
    <row r="1601" spans="1:4">
      <c r="A1601" s="107">
        <v>2</v>
      </c>
      <c r="B1601" s="1324"/>
      <c r="C1601" t="s">
        <v>421</v>
      </c>
      <c r="D1601" s="113">
        <v>0</v>
      </c>
    </row>
    <row r="1602" spans="1:4">
      <c r="A1602" s="107">
        <v>11</v>
      </c>
      <c r="B1602" s="1323" t="s">
        <v>999</v>
      </c>
      <c r="C1602" t="s">
        <v>444</v>
      </c>
      <c r="D1602" s="113">
        <v>259663.2</v>
      </c>
    </row>
    <row r="1603" spans="1:4">
      <c r="A1603" s="107">
        <v>11</v>
      </c>
      <c r="B1603" s="1324"/>
      <c r="C1603" t="s">
        <v>445</v>
      </c>
      <c r="D1603" s="113">
        <v>659178.5</v>
      </c>
    </row>
    <row r="1604" spans="1:4">
      <c r="A1604" s="107">
        <v>11</v>
      </c>
      <c r="B1604" s="1324"/>
      <c r="C1604" t="s">
        <v>446</v>
      </c>
      <c r="D1604" s="113">
        <v>0</v>
      </c>
    </row>
    <row r="1605" spans="1:4">
      <c r="A1605" s="107">
        <v>11</v>
      </c>
      <c r="B1605" s="1324"/>
      <c r="C1605" t="s">
        <v>1253</v>
      </c>
      <c r="D1605" s="113">
        <v>0</v>
      </c>
    </row>
    <row r="1606" spans="1:4">
      <c r="A1606" s="107">
        <v>11</v>
      </c>
      <c r="B1606" s="1324"/>
      <c r="C1606" t="s">
        <v>421</v>
      </c>
      <c r="D1606" s="113">
        <v>0</v>
      </c>
    </row>
    <row r="1607" spans="1:4">
      <c r="A1607" s="107">
        <v>1</v>
      </c>
      <c r="B1607" s="1324" t="s">
        <v>1550</v>
      </c>
      <c r="C1607" t="s">
        <v>444</v>
      </c>
      <c r="D1607" s="113">
        <v>19826.3</v>
      </c>
    </row>
    <row r="1608" spans="1:4">
      <c r="A1608" s="107">
        <v>1</v>
      </c>
      <c r="B1608" s="1324"/>
      <c r="C1608" t="s">
        <v>445</v>
      </c>
      <c r="D1608" s="113">
        <v>0</v>
      </c>
    </row>
    <row r="1609" spans="1:4">
      <c r="A1609" s="107">
        <v>1</v>
      </c>
      <c r="B1609" s="1324"/>
      <c r="C1609" t="s">
        <v>446</v>
      </c>
      <c r="D1609" s="113">
        <v>0</v>
      </c>
    </row>
    <row r="1610" spans="1:4">
      <c r="A1610" s="107">
        <v>1</v>
      </c>
      <c r="B1610" s="1324"/>
      <c r="C1610" t="s">
        <v>1253</v>
      </c>
      <c r="D1610" s="113">
        <v>0</v>
      </c>
    </row>
    <row r="1611" spans="1:4">
      <c r="A1611" s="107">
        <v>1</v>
      </c>
      <c r="B1611" s="1324"/>
      <c r="C1611" t="s">
        <v>421</v>
      </c>
      <c r="D1611" s="113">
        <v>0</v>
      </c>
    </row>
    <row r="1612" spans="1:4">
      <c r="A1612" s="107">
        <v>2</v>
      </c>
      <c r="B1612" s="1324" t="s">
        <v>1551</v>
      </c>
      <c r="C1612" t="s">
        <v>444</v>
      </c>
      <c r="D1612" s="113">
        <v>11401.7</v>
      </c>
    </row>
    <row r="1613" spans="1:4">
      <c r="A1613" s="107">
        <v>2</v>
      </c>
      <c r="B1613" s="1324"/>
      <c r="C1613" t="s">
        <v>445</v>
      </c>
      <c r="D1613" s="113">
        <v>0</v>
      </c>
    </row>
    <row r="1614" spans="1:4">
      <c r="A1614" s="107">
        <v>2</v>
      </c>
      <c r="B1614" s="1324"/>
      <c r="C1614" t="s">
        <v>446</v>
      </c>
      <c r="D1614" s="113">
        <v>0</v>
      </c>
    </row>
    <row r="1615" spans="1:4">
      <c r="A1615" s="107">
        <v>2</v>
      </c>
      <c r="B1615" s="1324"/>
      <c r="C1615" t="s">
        <v>1253</v>
      </c>
      <c r="D1615" s="113">
        <v>0</v>
      </c>
    </row>
    <row r="1616" spans="1:4">
      <c r="A1616" s="107">
        <v>2</v>
      </c>
      <c r="B1616" s="1324"/>
      <c r="C1616" t="s">
        <v>421</v>
      </c>
      <c r="D1616" s="113">
        <v>0</v>
      </c>
    </row>
    <row r="1617" spans="1:4">
      <c r="A1617" s="107">
        <v>1</v>
      </c>
      <c r="B1617" s="1324" t="s">
        <v>1552</v>
      </c>
      <c r="C1617" t="s">
        <v>444</v>
      </c>
      <c r="D1617" s="113">
        <v>7894.6</v>
      </c>
    </row>
    <row r="1618" spans="1:4">
      <c r="A1618" s="107">
        <v>1</v>
      </c>
      <c r="B1618" s="1324"/>
      <c r="C1618" t="s">
        <v>445</v>
      </c>
      <c r="D1618" s="113">
        <v>0</v>
      </c>
    </row>
    <row r="1619" spans="1:4">
      <c r="A1619" s="107">
        <v>1</v>
      </c>
      <c r="B1619" s="1324"/>
      <c r="C1619" t="s">
        <v>446</v>
      </c>
      <c r="D1619" s="113">
        <v>9105.4</v>
      </c>
    </row>
    <row r="1620" spans="1:4">
      <c r="A1620" s="107">
        <v>1</v>
      </c>
      <c r="B1620" s="1324"/>
      <c r="C1620" t="s">
        <v>1253</v>
      </c>
      <c r="D1620" s="113">
        <v>0</v>
      </c>
    </row>
    <row r="1621" spans="1:4">
      <c r="A1621" s="107">
        <v>1</v>
      </c>
      <c r="B1621" s="1325"/>
      <c r="C1621" t="s">
        <v>421</v>
      </c>
      <c r="D1621" s="113">
        <v>0</v>
      </c>
    </row>
    <row r="1622" spans="1:4">
      <c r="A1622" s="107">
        <v>2</v>
      </c>
      <c r="B1622" s="1323" t="s">
        <v>1000</v>
      </c>
      <c r="C1622" t="s">
        <v>444</v>
      </c>
      <c r="D1622" s="113">
        <v>0</v>
      </c>
    </row>
    <row r="1623" spans="1:4">
      <c r="A1623" s="107">
        <v>2</v>
      </c>
      <c r="B1623" s="1324"/>
      <c r="C1623" t="s">
        <v>445</v>
      </c>
      <c r="D1623" s="113">
        <v>0</v>
      </c>
    </row>
    <row r="1624" spans="1:4">
      <c r="A1624" s="107">
        <v>2</v>
      </c>
      <c r="B1624" s="1324"/>
      <c r="C1624" t="s">
        <v>446</v>
      </c>
      <c r="D1624" s="113">
        <v>41127.699999999997</v>
      </c>
    </row>
    <row r="1625" spans="1:4">
      <c r="A1625" s="107">
        <v>2</v>
      </c>
      <c r="B1625" s="1324"/>
      <c r="C1625" t="s">
        <v>1253</v>
      </c>
      <c r="D1625" s="113">
        <v>0</v>
      </c>
    </row>
    <row r="1626" spans="1:4">
      <c r="A1626" s="107">
        <v>2</v>
      </c>
      <c r="B1626" s="1324"/>
      <c r="C1626" t="s">
        <v>421</v>
      </c>
      <c r="D1626" s="113">
        <v>0</v>
      </c>
    </row>
    <row r="1627" spans="1:4">
      <c r="A1627" s="107">
        <v>2</v>
      </c>
      <c r="B1627" s="1323" t="s">
        <v>1001</v>
      </c>
      <c r="C1627" t="s">
        <v>444</v>
      </c>
      <c r="D1627" s="113">
        <v>0</v>
      </c>
    </row>
    <row r="1628" spans="1:4">
      <c r="A1628" s="107">
        <v>2</v>
      </c>
      <c r="B1628" s="1324"/>
      <c r="C1628" t="s">
        <v>445</v>
      </c>
      <c r="D1628" s="113">
        <v>0</v>
      </c>
    </row>
    <row r="1629" spans="1:4">
      <c r="A1629" s="107">
        <v>2</v>
      </c>
      <c r="B1629" s="1324"/>
      <c r="C1629" t="s">
        <v>446</v>
      </c>
      <c r="D1629" s="113">
        <v>31040.799999999999</v>
      </c>
    </row>
    <row r="1630" spans="1:4">
      <c r="A1630" s="107">
        <v>2</v>
      </c>
      <c r="B1630" s="1324"/>
      <c r="C1630" t="s">
        <v>1253</v>
      </c>
      <c r="D1630" s="113">
        <v>0</v>
      </c>
    </row>
    <row r="1631" spans="1:4">
      <c r="A1631" s="107">
        <v>2</v>
      </c>
      <c r="B1631" s="1324"/>
      <c r="C1631" t="s">
        <v>421</v>
      </c>
      <c r="D1631" s="113">
        <v>0</v>
      </c>
    </row>
    <row r="1632" spans="1:4">
      <c r="A1632" s="107">
        <v>2</v>
      </c>
      <c r="B1632" s="1323" t="s">
        <v>1002</v>
      </c>
      <c r="C1632" t="s">
        <v>444</v>
      </c>
      <c r="D1632" s="113">
        <v>0</v>
      </c>
    </row>
    <row r="1633" spans="1:4">
      <c r="A1633" s="107">
        <v>2</v>
      </c>
      <c r="B1633" s="1324"/>
      <c r="C1633" t="s">
        <v>445</v>
      </c>
      <c r="D1633" s="113">
        <v>0</v>
      </c>
    </row>
    <row r="1634" spans="1:4">
      <c r="A1634" s="107">
        <v>2</v>
      </c>
      <c r="B1634" s="1324"/>
      <c r="C1634" t="s">
        <v>446</v>
      </c>
      <c r="D1634" s="113">
        <v>37780.9</v>
      </c>
    </row>
    <row r="1635" spans="1:4">
      <c r="A1635" s="107">
        <v>2</v>
      </c>
      <c r="B1635" s="1324"/>
      <c r="C1635" t="s">
        <v>1253</v>
      </c>
      <c r="D1635" s="113">
        <v>0</v>
      </c>
    </row>
    <row r="1636" spans="1:4">
      <c r="A1636" s="107">
        <v>2</v>
      </c>
      <c r="B1636" s="1324"/>
      <c r="C1636" t="s">
        <v>421</v>
      </c>
      <c r="D1636" s="113">
        <v>0</v>
      </c>
    </row>
    <row r="1637" spans="1:4">
      <c r="A1637" s="107">
        <v>2</v>
      </c>
      <c r="B1637" s="1323" t="s">
        <v>1003</v>
      </c>
      <c r="C1637" t="s">
        <v>444</v>
      </c>
      <c r="D1637" s="113">
        <v>0</v>
      </c>
    </row>
    <row r="1638" spans="1:4">
      <c r="A1638" s="107">
        <v>2</v>
      </c>
      <c r="B1638" s="1324"/>
      <c r="C1638" t="s">
        <v>445</v>
      </c>
      <c r="D1638" s="113">
        <v>0</v>
      </c>
    </row>
    <row r="1639" spans="1:4">
      <c r="A1639" s="107">
        <v>2</v>
      </c>
      <c r="B1639" s="1324"/>
      <c r="C1639" t="s">
        <v>446</v>
      </c>
      <c r="D1639" s="113">
        <v>45326.5</v>
      </c>
    </row>
    <row r="1640" spans="1:4">
      <c r="A1640" s="107">
        <v>2</v>
      </c>
      <c r="B1640" s="1324"/>
      <c r="C1640" t="s">
        <v>1253</v>
      </c>
      <c r="D1640" s="113">
        <v>0</v>
      </c>
    </row>
    <row r="1641" spans="1:4">
      <c r="A1641" s="107">
        <v>2</v>
      </c>
      <c r="B1641" s="1324"/>
      <c r="C1641" t="s">
        <v>421</v>
      </c>
      <c r="D1641" s="113">
        <v>0</v>
      </c>
    </row>
    <row r="1642" spans="1:4">
      <c r="A1642" s="107">
        <v>2</v>
      </c>
      <c r="B1642" s="1323" t="s">
        <v>1004</v>
      </c>
      <c r="C1642" t="s">
        <v>444</v>
      </c>
      <c r="D1642" s="113">
        <v>259737.8</v>
      </c>
    </row>
    <row r="1643" spans="1:4">
      <c r="A1643" s="107">
        <v>2</v>
      </c>
      <c r="B1643" s="1324"/>
      <c r="C1643" t="s">
        <v>445</v>
      </c>
      <c r="D1643" s="113">
        <v>26579.4</v>
      </c>
    </row>
    <row r="1644" spans="1:4">
      <c r="A1644" s="107">
        <v>2</v>
      </c>
      <c r="B1644" s="1324"/>
      <c r="C1644" t="s">
        <v>446</v>
      </c>
      <c r="D1644" s="113">
        <v>21783.5</v>
      </c>
    </row>
    <row r="1645" spans="1:4">
      <c r="A1645" s="107">
        <v>2</v>
      </c>
      <c r="B1645" s="1324"/>
      <c r="C1645" t="s">
        <v>1253</v>
      </c>
      <c r="D1645" s="113">
        <v>0</v>
      </c>
    </row>
    <row r="1646" spans="1:4">
      <c r="A1646" s="107">
        <v>2</v>
      </c>
      <c r="B1646" s="1324"/>
      <c r="C1646" t="s">
        <v>421</v>
      </c>
      <c r="D1646" s="113">
        <v>0</v>
      </c>
    </row>
    <row r="1647" spans="1:4">
      <c r="A1647" s="107">
        <v>1</v>
      </c>
      <c r="B1647" s="1323" t="s">
        <v>1005</v>
      </c>
      <c r="C1647" t="s">
        <v>444</v>
      </c>
      <c r="D1647" s="113">
        <v>1802162.5</v>
      </c>
    </row>
    <row r="1648" spans="1:4">
      <c r="A1648" s="107">
        <v>1</v>
      </c>
      <c r="B1648" s="1324"/>
      <c r="C1648" t="s">
        <v>445</v>
      </c>
      <c r="D1648" s="113">
        <v>231600.7</v>
      </c>
    </row>
    <row r="1649" spans="1:4">
      <c r="A1649" s="107">
        <v>1</v>
      </c>
      <c r="B1649" s="1324"/>
      <c r="C1649" t="s">
        <v>446</v>
      </c>
      <c r="D1649" s="113">
        <v>204475.2</v>
      </c>
    </row>
    <row r="1650" spans="1:4">
      <c r="A1650" s="107">
        <v>1</v>
      </c>
      <c r="B1650" s="1324"/>
      <c r="C1650" t="s">
        <v>1253</v>
      </c>
      <c r="D1650" s="113">
        <v>0</v>
      </c>
    </row>
    <row r="1651" spans="1:4">
      <c r="A1651" s="107">
        <v>1</v>
      </c>
      <c r="B1651" s="1324"/>
      <c r="C1651" t="s">
        <v>421</v>
      </c>
      <c r="D1651" s="113">
        <v>71613.3</v>
      </c>
    </row>
    <row r="1652" spans="1:4">
      <c r="A1652" s="107">
        <v>1</v>
      </c>
      <c r="B1652" s="1323" t="s">
        <v>1006</v>
      </c>
      <c r="C1652" t="s">
        <v>444</v>
      </c>
      <c r="D1652" s="113">
        <v>622939.69999999995</v>
      </c>
    </row>
    <row r="1653" spans="1:4">
      <c r="A1653" s="107">
        <v>1</v>
      </c>
      <c r="B1653" s="1324"/>
      <c r="C1653" t="s">
        <v>445</v>
      </c>
      <c r="D1653" s="113">
        <v>4038.7</v>
      </c>
    </row>
    <row r="1654" spans="1:4">
      <c r="A1654" s="107">
        <v>1</v>
      </c>
      <c r="B1654" s="1324"/>
      <c r="C1654" t="s">
        <v>446</v>
      </c>
      <c r="D1654" s="113">
        <v>42590.1</v>
      </c>
    </row>
    <row r="1655" spans="1:4">
      <c r="A1655" s="107">
        <v>1</v>
      </c>
      <c r="B1655" s="1324"/>
      <c r="C1655" t="s">
        <v>1253</v>
      </c>
      <c r="D1655" s="113">
        <v>0</v>
      </c>
    </row>
    <row r="1656" spans="1:4">
      <c r="A1656" s="107">
        <v>1</v>
      </c>
      <c r="B1656" s="1324"/>
      <c r="C1656" t="s">
        <v>421</v>
      </c>
      <c r="D1656" s="113">
        <v>3604.2</v>
      </c>
    </row>
    <row r="1657" spans="1:4">
      <c r="A1657" s="107">
        <v>4</v>
      </c>
      <c r="B1657" s="1323" t="s">
        <v>1007</v>
      </c>
      <c r="C1657" t="s">
        <v>444</v>
      </c>
      <c r="D1657" s="113">
        <v>837736</v>
      </c>
    </row>
    <row r="1658" spans="1:4">
      <c r="A1658" s="107">
        <v>4</v>
      </c>
      <c r="B1658" s="1324"/>
      <c r="C1658" t="s">
        <v>445</v>
      </c>
      <c r="D1658" s="113">
        <v>14275.4</v>
      </c>
    </row>
    <row r="1659" spans="1:4">
      <c r="A1659" s="107">
        <v>4</v>
      </c>
      <c r="B1659" s="1324"/>
      <c r="C1659" t="s">
        <v>446</v>
      </c>
      <c r="D1659" s="113">
        <v>46323.5</v>
      </c>
    </row>
    <row r="1660" spans="1:4">
      <c r="A1660" s="107">
        <v>4</v>
      </c>
      <c r="B1660" s="1324"/>
      <c r="C1660" t="s">
        <v>1253</v>
      </c>
      <c r="D1660" s="113">
        <v>0</v>
      </c>
    </row>
    <row r="1661" spans="1:4">
      <c r="A1661" s="107">
        <v>4</v>
      </c>
      <c r="B1661" s="1324"/>
      <c r="C1661" t="s">
        <v>421</v>
      </c>
      <c r="D1661" s="113">
        <v>27463.9</v>
      </c>
    </row>
    <row r="1662" spans="1:4">
      <c r="A1662" s="107">
        <v>11</v>
      </c>
      <c r="B1662" s="1323" t="s">
        <v>1008</v>
      </c>
      <c r="C1662" t="s">
        <v>444</v>
      </c>
      <c r="D1662" s="113">
        <v>845645.2</v>
      </c>
    </row>
    <row r="1663" spans="1:4">
      <c r="A1663" s="107">
        <v>11</v>
      </c>
      <c r="B1663" s="1324"/>
      <c r="C1663" t="s">
        <v>445</v>
      </c>
      <c r="D1663" s="113">
        <v>372246.8</v>
      </c>
    </row>
    <row r="1664" spans="1:4">
      <c r="A1664" s="107">
        <v>11</v>
      </c>
      <c r="B1664" s="1324"/>
      <c r="C1664" t="s">
        <v>446</v>
      </c>
      <c r="D1664" s="113">
        <v>21309.3</v>
      </c>
    </row>
    <row r="1665" spans="1:4">
      <c r="A1665" s="107">
        <v>11</v>
      </c>
      <c r="B1665" s="1324"/>
      <c r="C1665" t="s">
        <v>1253</v>
      </c>
      <c r="D1665" s="113">
        <v>0</v>
      </c>
    </row>
    <row r="1666" spans="1:4">
      <c r="A1666" s="107">
        <v>11</v>
      </c>
      <c r="B1666" s="1324"/>
      <c r="C1666" t="s">
        <v>421</v>
      </c>
      <c r="D1666" s="113">
        <v>0</v>
      </c>
    </row>
    <row r="1667" spans="1:4">
      <c r="A1667" s="107">
        <v>3</v>
      </c>
      <c r="B1667" s="1323" t="s">
        <v>1009</v>
      </c>
      <c r="C1667" t="s">
        <v>444</v>
      </c>
      <c r="D1667" s="113">
        <v>38768.699999999997</v>
      </c>
    </row>
    <row r="1668" spans="1:4">
      <c r="A1668" s="107">
        <v>3</v>
      </c>
      <c r="B1668" s="1324"/>
      <c r="C1668" t="s">
        <v>445</v>
      </c>
      <c r="D1668" s="113">
        <v>0</v>
      </c>
    </row>
    <row r="1669" spans="1:4">
      <c r="A1669" s="107">
        <v>3</v>
      </c>
      <c r="B1669" s="1324"/>
      <c r="C1669" t="s">
        <v>446</v>
      </c>
      <c r="D1669" s="113">
        <v>10084.1</v>
      </c>
    </row>
    <row r="1670" spans="1:4">
      <c r="A1670" s="107">
        <v>3</v>
      </c>
      <c r="B1670" s="1324"/>
      <c r="C1670" t="s">
        <v>1253</v>
      </c>
      <c r="D1670" s="113">
        <v>0</v>
      </c>
    </row>
    <row r="1671" spans="1:4">
      <c r="A1671" s="107">
        <v>3</v>
      </c>
      <c r="B1671" s="1324"/>
      <c r="C1671" t="s">
        <v>421</v>
      </c>
      <c r="D1671" s="113">
        <v>0</v>
      </c>
    </row>
    <row r="1672" spans="1:4">
      <c r="A1672" s="107">
        <v>2</v>
      </c>
      <c r="B1672" s="1323" t="s">
        <v>1010</v>
      </c>
      <c r="C1672" t="s">
        <v>444</v>
      </c>
      <c r="D1672" s="113">
        <v>102199.1</v>
      </c>
    </row>
    <row r="1673" spans="1:4">
      <c r="A1673" s="107">
        <v>2</v>
      </c>
      <c r="B1673" s="1324"/>
      <c r="C1673" t="s">
        <v>445</v>
      </c>
      <c r="D1673" s="113">
        <v>0</v>
      </c>
    </row>
    <row r="1674" spans="1:4">
      <c r="A1674" s="107">
        <v>2</v>
      </c>
      <c r="B1674" s="1324"/>
      <c r="C1674" t="s">
        <v>446</v>
      </c>
      <c r="D1674" s="113">
        <v>10082.700000000001</v>
      </c>
    </row>
    <row r="1675" spans="1:4">
      <c r="A1675" s="107">
        <v>2</v>
      </c>
      <c r="B1675" s="1324"/>
      <c r="C1675" t="s">
        <v>1253</v>
      </c>
      <c r="D1675" s="113">
        <v>0</v>
      </c>
    </row>
    <row r="1676" spans="1:4">
      <c r="A1676" s="107">
        <v>2</v>
      </c>
      <c r="B1676" s="1325"/>
      <c r="C1676" t="s">
        <v>421</v>
      </c>
      <c r="D1676" s="113">
        <v>0</v>
      </c>
    </row>
    <row r="1677" spans="1:4" ht="12.75" customHeight="1">
      <c r="A1677" s="107">
        <v>4</v>
      </c>
      <c r="B1677" s="1323" t="s">
        <v>1011</v>
      </c>
      <c r="C1677" t="s">
        <v>444</v>
      </c>
      <c r="D1677" s="113">
        <v>328113</v>
      </c>
    </row>
    <row r="1678" spans="1:4">
      <c r="A1678" s="107">
        <v>4</v>
      </c>
      <c r="B1678" s="1324"/>
      <c r="C1678" t="s">
        <v>445</v>
      </c>
      <c r="D1678" s="113">
        <v>0</v>
      </c>
    </row>
    <row r="1679" spans="1:4">
      <c r="A1679" s="107">
        <v>4</v>
      </c>
      <c r="B1679" s="1324"/>
      <c r="C1679" t="s">
        <v>446</v>
      </c>
      <c r="D1679" s="113">
        <v>25542.3</v>
      </c>
    </row>
    <row r="1680" spans="1:4">
      <c r="A1680" s="107">
        <v>4</v>
      </c>
      <c r="B1680" s="1324"/>
      <c r="C1680" t="s">
        <v>1253</v>
      </c>
      <c r="D1680" s="113">
        <v>0</v>
      </c>
    </row>
    <row r="1681" spans="1:4">
      <c r="A1681" s="107">
        <v>4</v>
      </c>
      <c r="B1681" s="1324"/>
      <c r="C1681" t="s">
        <v>421</v>
      </c>
      <c r="D1681" s="113">
        <v>4692.3</v>
      </c>
    </row>
    <row r="1682" spans="1:4" ht="12.75" customHeight="1">
      <c r="A1682" s="107">
        <v>2</v>
      </c>
      <c r="B1682" s="1323" t="s">
        <v>1012</v>
      </c>
      <c r="C1682" t="s">
        <v>444</v>
      </c>
      <c r="D1682" s="113">
        <v>0</v>
      </c>
    </row>
    <row r="1683" spans="1:4">
      <c r="A1683" s="107">
        <v>2</v>
      </c>
      <c r="B1683" s="1324"/>
      <c r="C1683" t="s">
        <v>445</v>
      </c>
      <c r="D1683" s="113">
        <v>0</v>
      </c>
    </row>
    <row r="1684" spans="1:4">
      <c r="A1684" s="107">
        <v>2</v>
      </c>
      <c r="B1684" s="1324"/>
      <c r="C1684" t="s">
        <v>446</v>
      </c>
      <c r="D1684" s="113">
        <v>35431.199999999997</v>
      </c>
    </row>
    <row r="1685" spans="1:4">
      <c r="A1685" s="107">
        <v>2</v>
      </c>
      <c r="B1685" s="1324"/>
      <c r="C1685" t="s">
        <v>1253</v>
      </c>
      <c r="D1685" s="113">
        <v>0</v>
      </c>
    </row>
    <row r="1686" spans="1:4">
      <c r="A1686" s="107">
        <v>2</v>
      </c>
      <c r="B1686" s="1324"/>
      <c r="C1686" t="s">
        <v>421</v>
      </c>
      <c r="D1686" s="113">
        <v>0</v>
      </c>
    </row>
    <row r="1687" spans="1:4" ht="12.75" customHeight="1">
      <c r="A1687" s="107">
        <v>7</v>
      </c>
      <c r="B1687" s="1323" t="s">
        <v>1013</v>
      </c>
      <c r="C1687" t="s">
        <v>444</v>
      </c>
      <c r="D1687" s="113">
        <v>0</v>
      </c>
    </row>
    <row r="1688" spans="1:4">
      <c r="A1688" s="107">
        <v>7</v>
      </c>
      <c r="B1688" s="1324"/>
      <c r="C1688" t="s">
        <v>445</v>
      </c>
      <c r="D1688" s="113">
        <v>0</v>
      </c>
    </row>
    <row r="1689" spans="1:4">
      <c r="A1689" s="107">
        <v>7</v>
      </c>
      <c r="B1689" s="1324"/>
      <c r="C1689" t="s">
        <v>446</v>
      </c>
      <c r="D1689" s="113">
        <v>5592</v>
      </c>
    </row>
    <row r="1690" spans="1:4">
      <c r="A1690" s="107">
        <v>7</v>
      </c>
      <c r="B1690" s="1324"/>
      <c r="C1690" t="s">
        <v>1253</v>
      </c>
      <c r="D1690" s="113">
        <v>0</v>
      </c>
    </row>
    <row r="1691" spans="1:4">
      <c r="A1691" s="107">
        <v>7</v>
      </c>
      <c r="B1691" s="1324"/>
      <c r="C1691" t="s">
        <v>421</v>
      </c>
      <c r="D1691" s="113">
        <v>0</v>
      </c>
    </row>
    <row r="1692" spans="1:4" ht="12.75" customHeight="1">
      <c r="A1692" s="107">
        <v>1</v>
      </c>
      <c r="B1692" s="1323" t="s">
        <v>1014</v>
      </c>
      <c r="C1692" t="s">
        <v>444</v>
      </c>
      <c r="D1692" s="113">
        <v>0</v>
      </c>
    </row>
    <row r="1693" spans="1:4">
      <c r="A1693" s="107">
        <v>1</v>
      </c>
      <c r="B1693" s="1324"/>
      <c r="C1693" t="s">
        <v>445</v>
      </c>
      <c r="D1693" s="113">
        <v>0</v>
      </c>
    </row>
    <row r="1694" spans="1:4">
      <c r="A1694" s="107">
        <v>1</v>
      </c>
      <c r="B1694" s="1324"/>
      <c r="C1694" t="s">
        <v>446</v>
      </c>
      <c r="D1694" s="113">
        <v>403483.9</v>
      </c>
    </row>
    <row r="1695" spans="1:4">
      <c r="A1695" s="107">
        <v>1</v>
      </c>
      <c r="B1695" s="1324"/>
      <c r="C1695" t="s">
        <v>1253</v>
      </c>
      <c r="D1695" s="113">
        <v>0</v>
      </c>
    </row>
    <row r="1696" spans="1:4">
      <c r="A1696" s="107">
        <v>1</v>
      </c>
      <c r="B1696" s="1324"/>
      <c r="C1696" t="s">
        <v>421</v>
      </c>
      <c r="D1696" s="113">
        <v>0</v>
      </c>
    </row>
    <row r="1697" spans="1:4" ht="12.75" customHeight="1">
      <c r="A1697" s="107">
        <v>2</v>
      </c>
      <c r="B1697" s="1323" t="s">
        <v>1015</v>
      </c>
      <c r="C1697" t="s">
        <v>444</v>
      </c>
      <c r="D1697" s="113">
        <v>0</v>
      </c>
    </row>
    <row r="1698" spans="1:4">
      <c r="A1698" s="107">
        <v>2</v>
      </c>
      <c r="B1698" s="1324"/>
      <c r="C1698" t="s">
        <v>445</v>
      </c>
      <c r="D1698" s="113">
        <v>0</v>
      </c>
    </row>
    <row r="1699" spans="1:4">
      <c r="A1699" s="107">
        <v>2</v>
      </c>
      <c r="B1699" s="1324"/>
      <c r="C1699" t="s">
        <v>446</v>
      </c>
      <c r="D1699" s="113">
        <v>34485.5</v>
      </c>
    </row>
    <row r="1700" spans="1:4">
      <c r="A1700" s="107">
        <v>2</v>
      </c>
      <c r="B1700" s="1324"/>
      <c r="C1700" t="s">
        <v>1253</v>
      </c>
      <c r="D1700" s="113">
        <v>0</v>
      </c>
    </row>
    <row r="1701" spans="1:4">
      <c r="A1701" s="107">
        <v>2</v>
      </c>
      <c r="B1701" s="1324"/>
      <c r="C1701" t="s">
        <v>421</v>
      </c>
      <c r="D1701" s="113">
        <v>0</v>
      </c>
    </row>
    <row r="1702" spans="1:4" ht="12.75" customHeight="1">
      <c r="A1702" s="107">
        <v>2</v>
      </c>
      <c r="B1702" s="1323" t="s">
        <v>1016</v>
      </c>
      <c r="C1702" t="s">
        <v>444</v>
      </c>
      <c r="D1702" s="113">
        <v>0</v>
      </c>
    </row>
    <row r="1703" spans="1:4">
      <c r="A1703" s="107">
        <v>2</v>
      </c>
      <c r="B1703" s="1324"/>
      <c r="C1703" t="s">
        <v>445</v>
      </c>
      <c r="D1703" s="113">
        <v>0</v>
      </c>
    </row>
    <row r="1704" spans="1:4">
      <c r="A1704" s="107">
        <v>2</v>
      </c>
      <c r="B1704" s="1324"/>
      <c r="C1704" t="s">
        <v>446</v>
      </c>
      <c r="D1704" s="113">
        <v>38609.800000000003</v>
      </c>
    </row>
    <row r="1705" spans="1:4">
      <c r="A1705" s="107">
        <v>2</v>
      </c>
      <c r="B1705" s="1324"/>
      <c r="C1705" t="s">
        <v>1253</v>
      </c>
      <c r="D1705" s="113">
        <v>0</v>
      </c>
    </row>
    <row r="1706" spans="1:4">
      <c r="A1706" s="107">
        <v>2</v>
      </c>
      <c r="B1706" s="1324"/>
      <c r="C1706" t="s">
        <v>421</v>
      </c>
      <c r="D1706" s="113">
        <v>0</v>
      </c>
    </row>
    <row r="1707" spans="1:4" ht="12.75" customHeight="1">
      <c r="A1707" s="107">
        <v>2</v>
      </c>
      <c r="B1707" s="1323" t="s">
        <v>1017</v>
      </c>
      <c r="C1707" t="s">
        <v>444</v>
      </c>
      <c r="D1707" s="113">
        <v>0</v>
      </c>
    </row>
    <row r="1708" spans="1:4">
      <c r="A1708" s="107">
        <v>2</v>
      </c>
      <c r="B1708" s="1324"/>
      <c r="C1708" t="s">
        <v>445</v>
      </c>
      <c r="D1708" s="113">
        <v>0</v>
      </c>
    </row>
    <row r="1709" spans="1:4">
      <c r="A1709" s="107">
        <v>2</v>
      </c>
      <c r="B1709" s="1324"/>
      <c r="C1709" t="s">
        <v>446</v>
      </c>
      <c r="D1709" s="113">
        <v>63635.8</v>
      </c>
    </row>
    <row r="1710" spans="1:4">
      <c r="A1710" s="107">
        <v>2</v>
      </c>
      <c r="B1710" s="1324"/>
      <c r="C1710" t="s">
        <v>1253</v>
      </c>
      <c r="D1710" s="113">
        <v>0</v>
      </c>
    </row>
    <row r="1711" spans="1:4">
      <c r="A1711" s="107">
        <v>2</v>
      </c>
      <c r="B1711" s="1324"/>
      <c r="C1711" t="s">
        <v>421</v>
      </c>
      <c r="D1711" s="113">
        <v>0</v>
      </c>
    </row>
    <row r="1712" spans="1:4" ht="12.75" customHeight="1">
      <c r="A1712" s="107">
        <v>2</v>
      </c>
      <c r="B1712" s="1323" t="s">
        <v>1018</v>
      </c>
      <c r="C1712" t="s">
        <v>444</v>
      </c>
      <c r="D1712" s="113">
        <v>0</v>
      </c>
    </row>
    <row r="1713" spans="1:4">
      <c r="A1713" s="107">
        <v>2</v>
      </c>
      <c r="B1713" s="1324"/>
      <c r="C1713" t="s">
        <v>445</v>
      </c>
      <c r="D1713" s="113">
        <v>0</v>
      </c>
    </row>
    <row r="1714" spans="1:4">
      <c r="A1714" s="107">
        <v>2</v>
      </c>
      <c r="B1714" s="1324"/>
      <c r="C1714" t="s">
        <v>446</v>
      </c>
      <c r="D1714" s="113">
        <v>41881.300000000003</v>
      </c>
    </row>
    <row r="1715" spans="1:4">
      <c r="A1715" s="107">
        <v>2</v>
      </c>
      <c r="B1715" s="1324"/>
      <c r="C1715" t="s">
        <v>1253</v>
      </c>
      <c r="D1715" s="113">
        <v>0</v>
      </c>
    </row>
    <row r="1716" spans="1:4">
      <c r="A1716" s="107">
        <v>2</v>
      </c>
      <c r="B1716" s="1324"/>
      <c r="C1716" t="s">
        <v>421</v>
      </c>
      <c r="D1716" s="113">
        <v>0</v>
      </c>
    </row>
    <row r="1717" spans="1:4" ht="12.75" customHeight="1">
      <c r="A1717" s="107">
        <v>2</v>
      </c>
      <c r="B1717" s="1323" t="s">
        <v>1019</v>
      </c>
      <c r="C1717" t="s">
        <v>444</v>
      </c>
      <c r="D1717" s="113">
        <v>0</v>
      </c>
    </row>
    <row r="1718" spans="1:4">
      <c r="A1718" s="107">
        <v>2</v>
      </c>
      <c r="B1718" s="1324"/>
      <c r="C1718" t="s">
        <v>445</v>
      </c>
      <c r="D1718" s="113">
        <v>0</v>
      </c>
    </row>
    <row r="1719" spans="1:4">
      <c r="A1719" s="107">
        <v>2</v>
      </c>
      <c r="B1719" s="1324"/>
      <c r="C1719" t="s">
        <v>446</v>
      </c>
      <c r="D1719" s="113">
        <v>74874</v>
      </c>
    </row>
    <row r="1720" spans="1:4">
      <c r="A1720" s="107">
        <v>2</v>
      </c>
      <c r="B1720" s="1324"/>
      <c r="C1720" t="s">
        <v>1253</v>
      </c>
      <c r="D1720" s="113">
        <v>0</v>
      </c>
    </row>
    <row r="1721" spans="1:4">
      <c r="A1721" s="107">
        <v>2</v>
      </c>
      <c r="B1721" s="1324"/>
      <c r="C1721" t="s">
        <v>421</v>
      </c>
      <c r="D1721" s="113">
        <v>0</v>
      </c>
    </row>
    <row r="1722" spans="1:4">
      <c r="A1722" s="107">
        <v>2</v>
      </c>
      <c r="B1722" s="1323" t="s">
        <v>1020</v>
      </c>
      <c r="C1722" t="s">
        <v>444</v>
      </c>
      <c r="D1722" s="113">
        <v>0</v>
      </c>
    </row>
    <row r="1723" spans="1:4">
      <c r="A1723" s="107">
        <v>2</v>
      </c>
      <c r="B1723" s="1324"/>
      <c r="C1723" t="s">
        <v>445</v>
      </c>
      <c r="D1723" s="113">
        <v>0</v>
      </c>
    </row>
    <row r="1724" spans="1:4">
      <c r="A1724" s="107">
        <v>2</v>
      </c>
      <c r="B1724" s="1324"/>
      <c r="C1724" t="s">
        <v>446</v>
      </c>
      <c r="D1724" s="113">
        <v>15352.4</v>
      </c>
    </row>
    <row r="1725" spans="1:4">
      <c r="A1725" s="107">
        <v>2</v>
      </c>
      <c r="B1725" s="1324"/>
      <c r="C1725" t="s">
        <v>1253</v>
      </c>
      <c r="D1725" s="113">
        <v>0</v>
      </c>
    </row>
    <row r="1726" spans="1:4">
      <c r="A1726" s="107">
        <v>2</v>
      </c>
      <c r="B1726" s="1324"/>
      <c r="C1726" t="s">
        <v>421</v>
      </c>
      <c r="D1726" s="113">
        <v>0</v>
      </c>
    </row>
    <row r="1727" spans="1:4">
      <c r="A1727" s="107">
        <v>2</v>
      </c>
      <c r="B1727" s="1323" t="s">
        <v>1021</v>
      </c>
      <c r="C1727" t="s">
        <v>444</v>
      </c>
      <c r="D1727" s="113">
        <v>0</v>
      </c>
    </row>
    <row r="1728" spans="1:4">
      <c r="A1728" s="107">
        <v>2</v>
      </c>
      <c r="B1728" s="1324"/>
      <c r="C1728" t="s">
        <v>445</v>
      </c>
      <c r="D1728" s="113">
        <v>0</v>
      </c>
    </row>
    <row r="1729" spans="1:4">
      <c r="A1729" s="107">
        <v>2</v>
      </c>
      <c r="B1729" s="1324"/>
      <c r="C1729" t="s">
        <v>446</v>
      </c>
      <c r="D1729" s="113">
        <v>21577.5</v>
      </c>
    </row>
    <row r="1730" spans="1:4">
      <c r="A1730" s="107">
        <v>2</v>
      </c>
      <c r="B1730" s="1324"/>
      <c r="C1730" t="s">
        <v>1253</v>
      </c>
      <c r="D1730" s="113">
        <v>0</v>
      </c>
    </row>
    <row r="1731" spans="1:4">
      <c r="A1731" s="107">
        <v>2</v>
      </c>
      <c r="B1731" s="1325"/>
      <c r="C1731" t="s">
        <v>421</v>
      </c>
      <c r="D1731" s="113">
        <v>0</v>
      </c>
    </row>
    <row r="1732" spans="1:4">
      <c r="A1732" s="107">
        <v>1</v>
      </c>
      <c r="B1732" s="1323" t="s">
        <v>1022</v>
      </c>
      <c r="C1732" t="s">
        <v>444</v>
      </c>
      <c r="D1732" s="113">
        <v>567958.1</v>
      </c>
    </row>
    <row r="1733" spans="1:4">
      <c r="A1733" s="107">
        <v>1</v>
      </c>
      <c r="B1733" s="1324"/>
      <c r="C1733" t="s">
        <v>445</v>
      </c>
      <c r="D1733" s="113">
        <v>34264</v>
      </c>
    </row>
    <row r="1734" spans="1:4">
      <c r="A1734" s="107">
        <v>1</v>
      </c>
      <c r="B1734" s="1324"/>
      <c r="C1734" t="s">
        <v>446</v>
      </c>
      <c r="D1734" s="113">
        <v>77860.399999999994</v>
      </c>
    </row>
    <row r="1735" spans="1:4">
      <c r="A1735" s="107">
        <v>1</v>
      </c>
      <c r="B1735" s="1324"/>
      <c r="C1735" t="s">
        <v>1253</v>
      </c>
      <c r="D1735" s="113">
        <v>0</v>
      </c>
    </row>
    <row r="1736" spans="1:4">
      <c r="A1736" s="107">
        <v>1</v>
      </c>
      <c r="B1736" s="1324"/>
      <c r="C1736" t="s">
        <v>421</v>
      </c>
      <c r="D1736" s="113">
        <v>0</v>
      </c>
    </row>
    <row r="1737" spans="1:4">
      <c r="A1737" s="107">
        <v>1</v>
      </c>
      <c r="B1737" s="1323" t="s">
        <v>1023</v>
      </c>
      <c r="C1737" t="s">
        <v>444</v>
      </c>
      <c r="D1737" s="113">
        <v>1205.4000000000001</v>
      </c>
    </row>
    <row r="1738" spans="1:4">
      <c r="A1738" s="107">
        <v>1</v>
      </c>
      <c r="B1738" s="1324"/>
      <c r="C1738" t="s">
        <v>445</v>
      </c>
      <c r="D1738" s="113">
        <v>0</v>
      </c>
    </row>
    <row r="1739" spans="1:4">
      <c r="A1739" s="107">
        <v>1</v>
      </c>
      <c r="B1739" s="1324"/>
      <c r="C1739" t="s">
        <v>446</v>
      </c>
      <c r="D1739" s="113">
        <v>14369.5</v>
      </c>
    </row>
    <row r="1740" spans="1:4">
      <c r="A1740" s="107">
        <v>1</v>
      </c>
      <c r="B1740" s="1324"/>
      <c r="C1740" t="s">
        <v>1253</v>
      </c>
      <c r="D1740" s="113">
        <v>0</v>
      </c>
    </row>
    <row r="1741" spans="1:4">
      <c r="A1741" s="107">
        <v>1</v>
      </c>
      <c r="B1741" s="1324"/>
      <c r="C1741" t="s">
        <v>421</v>
      </c>
      <c r="D1741" s="113">
        <v>0</v>
      </c>
    </row>
    <row r="1742" spans="1:4">
      <c r="A1742" s="107">
        <v>1</v>
      </c>
      <c r="B1742" s="1323" t="s">
        <v>1024</v>
      </c>
      <c r="C1742" t="s">
        <v>444</v>
      </c>
      <c r="D1742" s="113">
        <v>11637.4</v>
      </c>
    </row>
    <row r="1743" spans="1:4">
      <c r="A1743" s="107">
        <v>1</v>
      </c>
      <c r="B1743" s="1324"/>
      <c r="C1743" t="s">
        <v>445</v>
      </c>
      <c r="D1743" s="113">
        <v>0</v>
      </c>
    </row>
    <row r="1744" spans="1:4">
      <c r="A1744" s="107">
        <v>1</v>
      </c>
      <c r="B1744" s="1324"/>
      <c r="C1744" t="s">
        <v>446</v>
      </c>
      <c r="D1744" s="113">
        <v>480.1</v>
      </c>
    </row>
    <row r="1745" spans="1:4">
      <c r="A1745" s="107">
        <v>1</v>
      </c>
      <c r="B1745" s="1324"/>
      <c r="C1745" t="s">
        <v>1253</v>
      </c>
      <c r="D1745" s="113">
        <v>0</v>
      </c>
    </row>
    <row r="1746" spans="1:4">
      <c r="A1746" s="107">
        <v>1</v>
      </c>
      <c r="B1746" s="1324"/>
      <c r="C1746" t="s">
        <v>421</v>
      </c>
      <c r="D1746" s="113">
        <v>0</v>
      </c>
    </row>
    <row r="1747" spans="1:4">
      <c r="A1747" s="107">
        <v>2</v>
      </c>
      <c r="B1747" s="1323" t="s">
        <v>1025</v>
      </c>
      <c r="C1747" t="s">
        <v>444</v>
      </c>
      <c r="D1747" s="113">
        <v>0</v>
      </c>
    </row>
    <row r="1748" spans="1:4">
      <c r="A1748" s="107">
        <v>2</v>
      </c>
      <c r="B1748" s="1324"/>
      <c r="C1748" t="s">
        <v>445</v>
      </c>
      <c r="D1748" s="113">
        <v>0</v>
      </c>
    </row>
    <row r="1749" spans="1:4">
      <c r="A1749" s="107">
        <v>2</v>
      </c>
      <c r="B1749" s="1324"/>
      <c r="C1749" t="s">
        <v>446</v>
      </c>
      <c r="D1749" s="113">
        <v>4694</v>
      </c>
    </row>
    <row r="1750" spans="1:4">
      <c r="A1750" s="107">
        <v>2</v>
      </c>
      <c r="B1750" s="1324"/>
      <c r="C1750" t="s">
        <v>1253</v>
      </c>
      <c r="D1750" s="113">
        <v>0</v>
      </c>
    </row>
    <row r="1751" spans="1:4">
      <c r="A1751" s="107">
        <v>1</v>
      </c>
      <c r="B1751" s="1324"/>
      <c r="C1751" t="s">
        <v>421</v>
      </c>
      <c r="D1751" s="113">
        <v>0</v>
      </c>
    </row>
    <row r="1752" spans="1:4">
      <c r="A1752" s="107">
        <v>2</v>
      </c>
      <c r="B1752" s="1323" t="s">
        <v>1026</v>
      </c>
      <c r="C1752" t="s">
        <v>444</v>
      </c>
      <c r="D1752" s="113">
        <v>0</v>
      </c>
    </row>
    <row r="1753" spans="1:4">
      <c r="A1753" s="107">
        <v>2</v>
      </c>
      <c r="B1753" s="1324"/>
      <c r="C1753" t="s">
        <v>445</v>
      </c>
      <c r="D1753" s="113">
        <v>0</v>
      </c>
    </row>
    <row r="1754" spans="1:4">
      <c r="A1754" s="107">
        <v>2</v>
      </c>
      <c r="B1754" s="1324"/>
      <c r="C1754" t="s">
        <v>446</v>
      </c>
      <c r="D1754" s="113">
        <v>18996.400000000001</v>
      </c>
    </row>
    <row r="1755" spans="1:4">
      <c r="A1755" s="107">
        <v>2</v>
      </c>
      <c r="B1755" s="1324"/>
      <c r="C1755" t="s">
        <v>1253</v>
      </c>
      <c r="D1755" s="113">
        <v>0</v>
      </c>
    </row>
    <row r="1756" spans="1:4">
      <c r="A1756" s="107">
        <v>2</v>
      </c>
      <c r="B1756" s="1324"/>
      <c r="C1756" t="s">
        <v>421</v>
      </c>
      <c r="D1756" s="113">
        <v>0</v>
      </c>
    </row>
    <row r="1757" spans="1:4">
      <c r="A1757" s="107">
        <v>1</v>
      </c>
      <c r="B1757" s="1323" t="s">
        <v>1027</v>
      </c>
      <c r="C1757" t="s">
        <v>444</v>
      </c>
      <c r="D1757" s="113">
        <v>722738.4</v>
      </c>
    </row>
    <row r="1758" spans="1:4">
      <c r="A1758" s="107">
        <v>1</v>
      </c>
      <c r="B1758" s="1324"/>
      <c r="C1758" t="s">
        <v>445</v>
      </c>
      <c r="D1758" s="113">
        <v>99451.4</v>
      </c>
    </row>
    <row r="1759" spans="1:4">
      <c r="A1759" s="107">
        <v>1</v>
      </c>
      <c r="B1759" s="1324"/>
      <c r="C1759" t="s">
        <v>446</v>
      </c>
      <c r="D1759" s="113">
        <v>3319.7</v>
      </c>
    </row>
    <row r="1760" spans="1:4">
      <c r="A1760" s="107">
        <v>1</v>
      </c>
      <c r="B1760" s="1324"/>
      <c r="C1760" t="s">
        <v>1253</v>
      </c>
      <c r="D1760" s="113">
        <v>0</v>
      </c>
    </row>
    <row r="1761" spans="1:4">
      <c r="A1761" s="107">
        <v>1</v>
      </c>
      <c r="B1761" s="1324"/>
      <c r="C1761" t="s">
        <v>421</v>
      </c>
      <c r="D1761" s="113">
        <v>0</v>
      </c>
    </row>
    <row r="1762" spans="1:4">
      <c r="A1762" s="107">
        <v>2</v>
      </c>
      <c r="B1762" s="1323" t="s">
        <v>1028</v>
      </c>
      <c r="C1762" t="s">
        <v>444</v>
      </c>
      <c r="D1762" s="113">
        <v>0</v>
      </c>
    </row>
    <row r="1763" spans="1:4">
      <c r="A1763" s="107">
        <v>2</v>
      </c>
      <c r="B1763" s="1324"/>
      <c r="C1763" t="s">
        <v>445</v>
      </c>
      <c r="D1763" s="113">
        <v>192.1</v>
      </c>
    </row>
    <row r="1764" spans="1:4">
      <c r="A1764" s="107">
        <v>2</v>
      </c>
      <c r="B1764" s="1324"/>
      <c r="C1764" t="s">
        <v>446</v>
      </c>
      <c r="D1764" s="113">
        <v>2474.3000000000002</v>
      </c>
    </row>
    <row r="1765" spans="1:4">
      <c r="A1765" s="107">
        <v>2</v>
      </c>
      <c r="B1765" s="1324"/>
      <c r="C1765" t="s">
        <v>1253</v>
      </c>
      <c r="D1765" s="113">
        <v>0</v>
      </c>
    </row>
    <row r="1766" spans="1:4">
      <c r="A1766" s="107">
        <v>2</v>
      </c>
      <c r="B1766" s="1324"/>
      <c r="C1766" t="s">
        <v>421</v>
      </c>
      <c r="D1766" s="113">
        <v>0</v>
      </c>
    </row>
    <row r="1767" spans="1:4">
      <c r="A1767" s="107">
        <v>2</v>
      </c>
      <c r="B1767" s="1323" t="s">
        <v>1029</v>
      </c>
      <c r="C1767" t="s">
        <v>444</v>
      </c>
      <c r="D1767" s="113">
        <v>0</v>
      </c>
    </row>
    <row r="1768" spans="1:4">
      <c r="A1768" s="107">
        <v>2</v>
      </c>
      <c r="B1768" s="1324"/>
      <c r="C1768" t="s">
        <v>445</v>
      </c>
      <c r="D1768" s="113">
        <v>0</v>
      </c>
    </row>
    <row r="1769" spans="1:4">
      <c r="A1769" s="107">
        <v>2</v>
      </c>
      <c r="B1769" s="1324"/>
      <c r="C1769" t="s">
        <v>446</v>
      </c>
      <c r="D1769" s="113">
        <v>11422.7</v>
      </c>
    </row>
    <row r="1770" spans="1:4">
      <c r="A1770" s="107">
        <v>2</v>
      </c>
      <c r="B1770" s="1324"/>
      <c r="C1770" t="s">
        <v>1253</v>
      </c>
      <c r="D1770" s="113">
        <v>0</v>
      </c>
    </row>
    <row r="1771" spans="1:4">
      <c r="A1771" s="107">
        <v>2</v>
      </c>
      <c r="B1771" s="1324"/>
      <c r="C1771" t="s">
        <v>421</v>
      </c>
      <c r="D1771" s="113">
        <v>0</v>
      </c>
    </row>
    <row r="1772" spans="1:4">
      <c r="A1772" s="107">
        <v>4</v>
      </c>
      <c r="B1772" s="1323" t="s">
        <v>1030</v>
      </c>
      <c r="C1772" t="s">
        <v>444</v>
      </c>
      <c r="D1772" s="113">
        <v>310851</v>
      </c>
    </row>
    <row r="1773" spans="1:4">
      <c r="A1773" s="107">
        <v>4</v>
      </c>
      <c r="B1773" s="1324"/>
      <c r="C1773" t="s">
        <v>445</v>
      </c>
      <c r="D1773" s="113">
        <v>0</v>
      </c>
    </row>
    <row r="1774" spans="1:4">
      <c r="A1774" s="107">
        <v>4</v>
      </c>
      <c r="B1774" s="1324"/>
      <c r="C1774" t="s">
        <v>446</v>
      </c>
      <c r="D1774" s="113">
        <v>26711.9</v>
      </c>
    </row>
    <row r="1775" spans="1:4">
      <c r="A1775" s="107">
        <v>4</v>
      </c>
      <c r="B1775" s="1324"/>
      <c r="C1775" t="s">
        <v>1253</v>
      </c>
      <c r="D1775" s="113">
        <v>0</v>
      </c>
    </row>
    <row r="1776" spans="1:4">
      <c r="A1776" s="107">
        <v>4</v>
      </c>
      <c r="B1776" s="1324"/>
      <c r="C1776" t="s">
        <v>421</v>
      </c>
      <c r="D1776" s="113">
        <v>0</v>
      </c>
    </row>
    <row r="1777" spans="1:4">
      <c r="A1777" s="107">
        <v>2</v>
      </c>
      <c r="B1777" s="1323" t="s">
        <v>1031</v>
      </c>
      <c r="C1777" t="s">
        <v>444</v>
      </c>
      <c r="D1777" s="113">
        <v>0</v>
      </c>
    </row>
    <row r="1778" spans="1:4">
      <c r="A1778" s="107">
        <v>2</v>
      </c>
      <c r="B1778" s="1324"/>
      <c r="C1778" t="s">
        <v>445</v>
      </c>
      <c r="D1778" s="113">
        <v>0</v>
      </c>
    </row>
    <row r="1779" spans="1:4">
      <c r="A1779" s="107">
        <v>2</v>
      </c>
      <c r="B1779" s="1324"/>
      <c r="C1779" t="s">
        <v>446</v>
      </c>
      <c r="D1779" s="113">
        <v>27607.8</v>
      </c>
    </row>
    <row r="1780" spans="1:4">
      <c r="A1780" s="107">
        <v>2</v>
      </c>
      <c r="B1780" s="1324"/>
      <c r="C1780" t="s">
        <v>1253</v>
      </c>
      <c r="D1780" s="113">
        <v>0</v>
      </c>
    </row>
    <row r="1781" spans="1:4">
      <c r="A1781" s="107">
        <v>2</v>
      </c>
      <c r="B1781" s="1324"/>
      <c r="C1781" t="s">
        <v>421</v>
      </c>
      <c r="D1781" s="113">
        <v>0</v>
      </c>
    </row>
    <row r="1782" spans="1:4">
      <c r="A1782" s="107">
        <v>1</v>
      </c>
      <c r="B1782" s="1323" t="s">
        <v>1032</v>
      </c>
      <c r="C1782" t="s">
        <v>444</v>
      </c>
      <c r="D1782" s="113">
        <v>0</v>
      </c>
    </row>
    <row r="1783" spans="1:4">
      <c r="A1783" s="107">
        <v>1</v>
      </c>
      <c r="B1783" s="1324"/>
      <c r="C1783" t="s">
        <v>445</v>
      </c>
      <c r="D1783" s="113">
        <v>0</v>
      </c>
    </row>
    <row r="1784" spans="1:4">
      <c r="A1784" s="107">
        <v>1</v>
      </c>
      <c r="B1784" s="1324"/>
      <c r="C1784" t="s">
        <v>446</v>
      </c>
      <c r="D1784" s="113">
        <v>2371.5</v>
      </c>
    </row>
    <row r="1785" spans="1:4">
      <c r="A1785" s="107">
        <v>1</v>
      </c>
      <c r="B1785" s="1324"/>
      <c r="C1785" t="s">
        <v>1253</v>
      </c>
      <c r="D1785" s="113">
        <v>0</v>
      </c>
    </row>
    <row r="1786" spans="1:4">
      <c r="A1786" s="107">
        <v>1</v>
      </c>
      <c r="B1786" s="1324"/>
      <c r="C1786" t="s">
        <v>421</v>
      </c>
      <c r="D1786" s="113">
        <v>0</v>
      </c>
    </row>
    <row r="1787" spans="1:4">
      <c r="A1787" s="107">
        <v>2</v>
      </c>
      <c r="B1787" s="1323" t="s">
        <v>1033</v>
      </c>
      <c r="C1787" t="s">
        <v>444</v>
      </c>
      <c r="D1787" s="113">
        <v>0</v>
      </c>
    </row>
    <row r="1788" spans="1:4">
      <c r="A1788" s="107">
        <v>2</v>
      </c>
      <c r="B1788" s="1324"/>
      <c r="C1788" t="s">
        <v>445</v>
      </c>
      <c r="D1788" s="113">
        <v>0</v>
      </c>
    </row>
    <row r="1789" spans="1:4">
      <c r="A1789" s="107">
        <v>2</v>
      </c>
      <c r="B1789" s="1324"/>
      <c r="C1789" t="s">
        <v>446</v>
      </c>
      <c r="D1789" s="113">
        <v>95665</v>
      </c>
    </row>
    <row r="1790" spans="1:4">
      <c r="A1790" s="107">
        <v>2</v>
      </c>
      <c r="B1790" s="1324"/>
      <c r="C1790" t="s">
        <v>1253</v>
      </c>
      <c r="D1790" s="113">
        <v>0</v>
      </c>
    </row>
    <row r="1791" spans="1:4">
      <c r="A1791" s="107">
        <v>2</v>
      </c>
      <c r="B1791" s="1324"/>
      <c r="C1791" t="s">
        <v>421</v>
      </c>
      <c r="D1791" s="113">
        <v>0</v>
      </c>
    </row>
    <row r="1792" spans="1:4">
      <c r="A1792" s="107">
        <v>1</v>
      </c>
      <c r="B1792" s="1323" t="s">
        <v>1034</v>
      </c>
      <c r="C1792" t="s">
        <v>444</v>
      </c>
      <c r="D1792" s="113">
        <v>623618.69999999995</v>
      </c>
    </row>
    <row r="1793" spans="1:4">
      <c r="A1793" s="107">
        <v>1</v>
      </c>
      <c r="B1793" s="1324"/>
      <c r="C1793" t="s">
        <v>445</v>
      </c>
      <c r="D1793" s="113">
        <v>961567.7</v>
      </c>
    </row>
    <row r="1794" spans="1:4">
      <c r="A1794" s="107">
        <v>1</v>
      </c>
      <c r="B1794" s="1324"/>
      <c r="C1794" t="s">
        <v>446</v>
      </c>
      <c r="D1794" s="113">
        <v>143181.79999999999</v>
      </c>
    </row>
    <row r="1795" spans="1:4">
      <c r="A1795" s="107">
        <v>1</v>
      </c>
      <c r="B1795" s="1324"/>
      <c r="C1795" t="s">
        <v>1253</v>
      </c>
      <c r="D1795" s="113">
        <v>0</v>
      </c>
    </row>
    <row r="1796" spans="1:4">
      <c r="A1796" s="107">
        <v>1</v>
      </c>
      <c r="B1796" s="1324"/>
      <c r="C1796" t="s">
        <v>421</v>
      </c>
      <c r="D1796" s="113">
        <v>14782.7</v>
      </c>
    </row>
    <row r="1797" spans="1:4">
      <c r="A1797" s="107">
        <v>1</v>
      </c>
      <c r="B1797" s="1323" t="s">
        <v>1035</v>
      </c>
      <c r="C1797" t="s">
        <v>444</v>
      </c>
      <c r="D1797" s="113">
        <v>212152.9</v>
      </c>
    </row>
    <row r="1798" spans="1:4">
      <c r="A1798" s="107">
        <v>1</v>
      </c>
      <c r="B1798" s="1324"/>
      <c r="C1798" t="s">
        <v>445</v>
      </c>
      <c r="D1798" s="113">
        <v>0</v>
      </c>
    </row>
    <row r="1799" spans="1:4">
      <c r="A1799" s="107">
        <v>1</v>
      </c>
      <c r="B1799" s="1324"/>
      <c r="C1799" t="s">
        <v>446</v>
      </c>
      <c r="D1799" s="113">
        <v>43844.2</v>
      </c>
    </row>
    <row r="1800" spans="1:4">
      <c r="A1800" s="107">
        <v>1</v>
      </c>
      <c r="B1800" s="1324"/>
      <c r="C1800" t="s">
        <v>1253</v>
      </c>
      <c r="D1800" s="113">
        <v>0</v>
      </c>
    </row>
    <row r="1801" spans="1:4">
      <c r="A1801" s="107">
        <v>1</v>
      </c>
      <c r="B1801" s="1324"/>
      <c r="C1801" t="s">
        <v>421</v>
      </c>
      <c r="D1801" s="113">
        <v>0</v>
      </c>
    </row>
    <row r="1802" spans="1:4">
      <c r="A1802" s="107">
        <v>2</v>
      </c>
      <c r="B1802" s="1323" t="s">
        <v>1036</v>
      </c>
      <c r="C1802" t="s">
        <v>444</v>
      </c>
      <c r="D1802" s="113">
        <v>0</v>
      </c>
    </row>
    <row r="1803" spans="1:4">
      <c r="A1803" s="107">
        <v>2</v>
      </c>
      <c r="B1803" s="1324"/>
      <c r="C1803" t="s">
        <v>445</v>
      </c>
      <c r="D1803" s="113">
        <v>0</v>
      </c>
    </row>
    <row r="1804" spans="1:4">
      <c r="A1804" s="107">
        <v>2</v>
      </c>
      <c r="B1804" s="1324"/>
      <c r="C1804" t="s">
        <v>446</v>
      </c>
      <c r="D1804" s="113">
        <v>26241.8</v>
      </c>
    </row>
    <row r="1805" spans="1:4">
      <c r="A1805" s="107">
        <v>2</v>
      </c>
      <c r="B1805" s="1324"/>
      <c r="C1805" t="s">
        <v>1253</v>
      </c>
      <c r="D1805" s="113">
        <v>0</v>
      </c>
    </row>
    <row r="1806" spans="1:4">
      <c r="A1806" s="107">
        <v>2</v>
      </c>
      <c r="B1806" s="1324"/>
      <c r="C1806" t="s">
        <v>421</v>
      </c>
      <c r="D1806" s="113">
        <v>0</v>
      </c>
    </row>
    <row r="1807" spans="1:4">
      <c r="A1807" s="107">
        <v>2</v>
      </c>
      <c r="B1807" s="1323" t="s">
        <v>1037</v>
      </c>
      <c r="C1807" t="s">
        <v>444</v>
      </c>
      <c r="D1807" s="113">
        <v>0</v>
      </c>
    </row>
    <row r="1808" spans="1:4">
      <c r="A1808" s="107">
        <v>2</v>
      </c>
      <c r="B1808" s="1324"/>
      <c r="C1808" t="s">
        <v>445</v>
      </c>
      <c r="D1808" s="113">
        <v>0</v>
      </c>
    </row>
    <row r="1809" spans="1:4">
      <c r="A1809" s="107">
        <v>2</v>
      </c>
      <c r="B1809" s="1324"/>
      <c r="C1809" t="s">
        <v>446</v>
      </c>
      <c r="D1809" s="113">
        <v>2598.5</v>
      </c>
    </row>
    <row r="1810" spans="1:4">
      <c r="A1810" s="107">
        <v>2</v>
      </c>
      <c r="B1810" s="1324"/>
      <c r="C1810" t="s">
        <v>1253</v>
      </c>
      <c r="D1810" s="113">
        <v>0</v>
      </c>
    </row>
    <row r="1811" spans="1:4">
      <c r="A1811" s="107">
        <v>2</v>
      </c>
      <c r="B1811" s="1324"/>
      <c r="C1811" t="s">
        <v>421</v>
      </c>
      <c r="D1811" s="113">
        <v>0</v>
      </c>
    </row>
    <row r="1812" spans="1:4">
      <c r="A1812" s="107">
        <v>1</v>
      </c>
      <c r="B1812" s="1323" t="s">
        <v>1038</v>
      </c>
      <c r="C1812" t="s">
        <v>444</v>
      </c>
      <c r="D1812" s="113">
        <v>399268.4</v>
      </c>
    </row>
    <row r="1813" spans="1:4">
      <c r="A1813" s="107">
        <v>1</v>
      </c>
      <c r="B1813" s="1324"/>
      <c r="C1813" t="s">
        <v>445</v>
      </c>
      <c r="D1813" s="113">
        <v>0</v>
      </c>
    </row>
    <row r="1814" spans="1:4">
      <c r="A1814" s="107">
        <v>1</v>
      </c>
      <c r="B1814" s="1324"/>
      <c r="C1814" t="s">
        <v>446</v>
      </c>
      <c r="D1814" s="113">
        <v>49119.9</v>
      </c>
    </row>
    <row r="1815" spans="1:4">
      <c r="A1815" s="107">
        <v>1</v>
      </c>
      <c r="B1815" s="1324"/>
      <c r="C1815" t="s">
        <v>1253</v>
      </c>
      <c r="D1815" s="113">
        <v>0</v>
      </c>
    </row>
    <row r="1816" spans="1:4">
      <c r="A1816" s="107">
        <v>1</v>
      </c>
      <c r="B1816" s="1324"/>
      <c r="C1816" t="s">
        <v>421</v>
      </c>
      <c r="D1816" s="113">
        <v>9770.2999999999993</v>
      </c>
    </row>
    <row r="1817" spans="1:4">
      <c r="A1817" s="107">
        <v>2</v>
      </c>
      <c r="B1817" s="1323" t="s">
        <v>1039</v>
      </c>
      <c r="C1817" t="s">
        <v>444</v>
      </c>
      <c r="D1817" s="113">
        <v>0</v>
      </c>
    </row>
    <row r="1818" spans="1:4">
      <c r="A1818" s="107">
        <v>2</v>
      </c>
      <c r="B1818" s="1324"/>
      <c r="C1818" t="s">
        <v>445</v>
      </c>
      <c r="D1818" s="113">
        <v>0</v>
      </c>
    </row>
    <row r="1819" spans="1:4">
      <c r="A1819" s="107">
        <v>2</v>
      </c>
      <c r="B1819" s="1324"/>
      <c r="C1819" t="s">
        <v>446</v>
      </c>
      <c r="D1819" s="113">
        <v>29392.400000000001</v>
      </c>
    </row>
    <row r="1820" spans="1:4">
      <c r="A1820" s="107">
        <v>2</v>
      </c>
      <c r="B1820" s="1324"/>
      <c r="C1820" t="s">
        <v>1253</v>
      </c>
      <c r="D1820" s="113">
        <v>0</v>
      </c>
    </row>
    <row r="1821" spans="1:4">
      <c r="A1821" s="107">
        <v>2</v>
      </c>
      <c r="B1821" s="1324"/>
      <c r="C1821" t="s">
        <v>421</v>
      </c>
      <c r="D1821" s="113">
        <v>0</v>
      </c>
    </row>
    <row r="1822" spans="1:4">
      <c r="A1822" s="107">
        <v>1</v>
      </c>
      <c r="B1822" s="1323" t="s">
        <v>1040</v>
      </c>
      <c r="C1822" t="s">
        <v>444</v>
      </c>
      <c r="D1822" s="113">
        <v>183529.4</v>
      </c>
    </row>
    <row r="1823" spans="1:4">
      <c r="A1823" s="107">
        <v>1</v>
      </c>
      <c r="B1823" s="1324"/>
      <c r="C1823" t="s">
        <v>445</v>
      </c>
      <c r="D1823" s="113">
        <v>0</v>
      </c>
    </row>
    <row r="1824" spans="1:4">
      <c r="A1824" s="107">
        <v>1</v>
      </c>
      <c r="B1824" s="1324"/>
      <c r="C1824" t="s">
        <v>446</v>
      </c>
      <c r="D1824" s="113">
        <v>0</v>
      </c>
    </row>
    <row r="1825" spans="1:4">
      <c r="A1825" s="107">
        <v>1</v>
      </c>
      <c r="B1825" s="1324"/>
      <c r="C1825" t="s">
        <v>1253</v>
      </c>
      <c r="D1825" s="113">
        <v>0</v>
      </c>
    </row>
    <row r="1826" spans="1:4">
      <c r="A1826" s="107">
        <v>1</v>
      </c>
      <c r="B1826" s="1324"/>
      <c r="C1826" t="s">
        <v>421</v>
      </c>
      <c r="D1826" s="113">
        <v>0</v>
      </c>
    </row>
    <row r="1827" spans="1:4">
      <c r="A1827" s="107">
        <v>1</v>
      </c>
      <c r="B1827" s="1323" t="s">
        <v>1041</v>
      </c>
      <c r="C1827" t="s">
        <v>444</v>
      </c>
      <c r="D1827" s="113">
        <v>603125.19999999995</v>
      </c>
    </row>
    <row r="1828" spans="1:4">
      <c r="A1828" s="107">
        <v>1</v>
      </c>
      <c r="B1828" s="1324"/>
      <c r="C1828" t="s">
        <v>445</v>
      </c>
      <c r="D1828" s="113">
        <v>0</v>
      </c>
    </row>
    <row r="1829" spans="1:4">
      <c r="A1829" s="107">
        <v>1</v>
      </c>
      <c r="B1829" s="1324"/>
      <c r="C1829" t="s">
        <v>446</v>
      </c>
      <c r="D1829" s="113">
        <v>48691.9</v>
      </c>
    </row>
    <row r="1830" spans="1:4">
      <c r="A1830" s="107">
        <v>1</v>
      </c>
      <c r="B1830" s="1324"/>
      <c r="C1830" t="s">
        <v>1253</v>
      </c>
      <c r="D1830" s="113">
        <v>0</v>
      </c>
    </row>
    <row r="1831" spans="1:4">
      <c r="A1831" s="107">
        <v>1</v>
      </c>
      <c r="B1831" s="1324"/>
      <c r="C1831" t="s">
        <v>421</v>
      </c>
      <c r="D1831" s="113">
        <v>12487.2</v>
      </c>
    </row>
    <row r="1832" spans="1:4">
      <c r="A1832" s="107">
        <v>1</v>
      </c>
      <c r="B1832" s="1323" t="s">
        <v>1042</v>
      </c>
      <c r="C1832" t="s">
        <v>444</v>
      </c>
      <c r="D1832" s="113">
        <v>217205</v>
      </c>
    </row>
    <row r="1833" spans="1:4">
      <c r="A1833" s="107">
        <v>1</v>
      </c>
      <c r="B1833" s="1324"/>
      <c r="C1833" t="s">
        <v>445</v>
      </c>
      <c r="D1833" s="113">
        <v>14501.3</v>
      </c>
    </row>
    <row r="1834" spans="1:4">
      <c r="A1834" s="107">
        <v>1</v>
      </c>
      <c r="B1834" s="1324"/>
      <c r="C1834" t="s">
        <v>446</v>
      </c>
      <c r="D1834" s="113">
        <v>24671</v>
      </c>
    </row>
    <row r="1835" spans="1:4">
      <c r="A1835" s="107">
        <v>1</v>
      </c>
      <c r="B1835" s="1324"/>
      <c r="C1835" t="s">
        <v>1253</v>
      </c>
      <c r="D1835" s="113">
        <v>0</v>
      </c>
    </row>
    <row r="1836" spans="1:4">
      <c r="A1836" s="107">
        <v>1</v>
      </c>
      <c r="B1836" s="1324"/>
      <c r="C1836" t="s">
        <v>421</v>
      </c>
      <c r="D1836" s="113">
        <v>0</v>
      </c>
    </row>
    <row r="1837" spans="1:4">
      <c r="A1837" s="107">
        <v>2</v>
      </c>
      <c r="B1837" s="1323" t="s">
        <v>1043</v>
      </c>
      <c r="C1837" t="s">
        <v>444</v>
      </c>
      <c r="D1837" s="113">
        <v>0</v>
      </c>
    </row>
    <row r="1838" spans="1:4">
      <c r="A1838" s="107">
        <v>2</v>
      </c>
      <c r="B1838" s="1324"/>
      <c r="C1838" t="s">
        <v>445</v>
      </c>
      <c r="D1838" s="113">
        <v>0</v>
      </c>
    </row>
    <row r="1839" spans="1:4">
      <c r="A1839" s="107">
        <v>2</v>
      </c>
      <c r="B1839" s="1324"/>
      <c r="C1839" t="s">
        <v>446</v>
      </c>
      <c r="D1839" s="113">
        <v>5077.3999999999996</v>
      </c>
    </row>
    <row r="1840" spans="1:4">
      <c r="A1840" s="107">
        <v>2</v>
      </c>
      <c r="B1840" s="1324"/>
      <c r="C1840" t="s">
        <v>1253</v>
      </c>
      <c r="D1840" s="113">
        <v>0</v>
      </c>
    </row>
    <row r="1841" spans="1:4">
      <c r="A1841" s="107">
        <v>2</v>
      </c>
      <c r="B1841" s="1324"/>
      <c r="C1841" t="s">
        <v>421</v>
      </c>
      <c r="D1841" s="113">
        <v>0</v>
      </c>
    </row>
    <row r="1842" spans="1:4">
      <c r="A1842" s="107">
        <v>2</v>
      </c>
      <c r="B1842" s="1323" t="s">
        <v>1044</v>
      </c>
      <c r="C1842" t="s">
        <v>444</v>
      </c>
      <c r="D1842" s="113">
        <v>0</v>
      </c>
    </row>
    <row r="1843" spans="1:4">
      <c r="A1843" s="107">
        <v>2</v>
      </c>
      <c r="B1843" s="1324"/>
      <c r="C1843" t="s">
        <v>445</v>
      </c>
      <c r="D1843" s="113">
        <v>0</v>
      </c>
    </row>
    <row r="1844" spans="1:4">
      <c r="A1844" s="107">
        <v>2</v>
      </c>
      <c r="B1844" s="1324"/>
      <c r="C1844" t="s">
        <v>446</v>
      </c>
      <c r="D1844" s="113">
        <v>4303.2</v>
      </c>
    </row>
    <row r="1845" spans="1:4">
      <c r="A1845" s="107">
        <v>2</v>
      </c>
      <c r="B1845" s="1324"/>
      <c r="C1845" t="s">
        <v>1253</v>
      </c>
      <c r="D1845" s="113">
        <v>0</v>
      </c>
    </row>
    <row r="1846" spans="1:4">
      <c r="A1846" s="107">
        <v>2</v>
      </c>
      <c r="B1846" s="1324"/>
      <c r="C1846" t="s">
        <v>421</v>
      </c>
      <c r="D1846" s="113">
        <v>0</v>
      </c>
    </row>
    <row r="1847" spans="1:4">
      <c r="A1847" s="107">
        <v>2</v>
      </c>
      <c r="B1847" s="1323" t="s">
        <v>1045</v>
      </c>
      <c r="C1847" t="s">
        <v>444</v>
      </c>
      <c r="D1847" s="113">
        <v>0</v>
      </c>
    </row>
    <row r="1848" spans="1:4">
      <c r="A1848" s="107">
        <v>2</v>
      </c>
      <c r="B1848" s="1324"/>
      <c r="C1848" t="s">
        <v>445</v>
      </c>
      <c r="D1848" s="113">
        <v>0</v>
      </c>
    </row>
    <row r="1849" spans="1:4">
      <c r="A1849" s="107">
        <v>2</v>
      </c>
      <c r="B1849" s="1324"/>
      <c r="C1849" t="s">
        <v>446</v>
      </c>
      <c r="D1849" s="113">
        <v>4064.3</v>
      </c>
    </row>
    <row r="1850" spans="1:4">
      <c r="A1850" s="107">
        <v>2</v>
      </c>
      <c r="B1850" s="1324"/>
      <c r="C1850" t="s">
        <v>1253</v>
      </c>
      <c r="D1850" s="113">
        <v>0</v>
      </c>
    </row>
    <row r="1851" spans="1:4">
      <c r="A1851" s="107">
        <v>2</v>
      </c>
      <c r="B1851" s="1324"/>
      <c r="C1851" t="s">
        <v>421</v>
      </c>
      <c r="D1851" s="113">
        <v>0</v>
      </c>
    </row>
    <row r="1852" spans="1:4">
      <c r="A1852" s="107">
        <v>4</v>
      </c>
      <c r="B1852" s="1323" t="s">
        <v>1046</v>
      </c>
      <c r="C1852" t="s">
        <v>444</v>
      </c>
      <c r="D1852" s="113">
        <v>358837.2</v>
      </c>
    </row>
    <row r="1853" spans="1:4">
      <c r="A1853" s="107">
        <v>4</v>
      </c>
      <c r="B1853" s="1324"/>
      <c r="C1853" t="s">
        <v>445</v>
      </c>
      <c r="D1853" s="113">
        <v>0</v>
      </c>
    </row>
    <row r="1854" spans="1:4">
      <c r="A1854" s="107">
        <v>4</v>
      </c>
      <c r="B1854" s="1324"/>
      <c r="C1854" t="s">
        <v>446</v>
      </c>
      <c r="D1854" s="113">
        <v>9239.5</v>
      </c>
    </row>
    <row r="1855" spans="1:4">
      <c r="A1855" s="107">
        <v>4</v>
      </c>
      <c r="B1855" s="1324"/>
      <c r="C1855" t="s">
        <v>1253</v>
      </c>
      <c r="D1855" s="113">
        <v>0</v>
      </c>
    </row>
    <row r="1856" spans="1:4">
      <c r="A1856" s="107">
        <v>4</v>
      </c>
      <c r="B1856" s="1324"/>
      <c r="C1856" t="s">
        <v>421</v>
      </c>
      <c r="D1856" s="113">
        <v>0</v>
      </c>
    </row>
    <row r="1857" spans="1:4">
      <c r="A1857" s="107">
        <v>1</v>
      </c>
      <c r="B1857" s="1323" t="s">
        <v>1047</v>
      </c>
      <c r="C1857" t="s">
        <v>444</v>
      </c>
      <c r="D1857" s="113">
        <v>52600.1</v>
      </c>
    </row>
    <row r="1858" spans="1:4">
      <c r="A1858" s="107">
        <v>1</v>
      </c>
      <c r="B1858" s="1324"/>
      <c r="C1858" t="s">
        <v>445</v>
      </c>
      <c r="D1858" s="113">
        <v>0</v>
      </c>
    </row>
    <row r="1859" spans="1:4">
      <c r="A1859" s="107">
        <v>1</v>
      </c>
      <c r="B1859" s="1324"/>
      <c r="C1859" t="s">
        <v>446</v>
      </c>
      <c r="D1859" s="113">
        <v>9731.2000000000007</v>
      </c>
    </row>
    <row r="1860" spans="1:4">
      <c r="A1860" s="107">
        <v>1</v>
      </c>
      <c r="B1860" s="1324"/>
      <c r="C1860" t="s">
        <v>1253</v>
      </c>
      <c r="D1860" s="113">
        <v>0</v>
      </c>
    </row>
    <row r="1861" spans="1:4">
      <c r="A1861" s="107">
        <v>1</v>
      </c>
      <c r="B1861" s="1324"/>
      <c r="C1861" t="s">
        <v>421</v>
      </c>
      <c r="D1861" s="113">
        <v>0</v>
      </c>
    </row>
    <row r="1862" spans="1:4" ht="12.75" customHeight="1">
      <c r="A1862" s="107">
        <v>1</v>
      </c>
      <c r="B1862" s="1323" t="s">
        <v>1048</v>
      </c>
      <c r="C1862" t="s">
        <v>444</v>
      </c>
      <c r="D1862" s="113">
        <v>643820.80000000005</v>
      </c>
    </row>
    <row r="1863" spans="1:4">
      <c r="A1863" s="107">
        <v>1</v>
      </c>
      <c r="B1863" s="1324"/>
      <c r="C1863" t="s">
        <v>445</v>
      </c>
      <c r="D1863" s="113">
        <v>0</v>
      </c>
    </row>
    <row r="1864" spans="1:4">
      <c r="A1864" s="107">
        <v>1</v>
      </c>
      <c r="B1864" s="1324"/>
      <c r="C1864" t="s">
        <v>446</v>
      </c>
      <c r="D1864" s="113">
        <v>4412.8999999999996</v>
      </c>
    </row>
    <row r="1865" spans="1:4">
      <c r="A1865" s="107">
        <v>1</v>
      </c>
      <c r="B1865" s="1324"/>
      <c r="C1865" t="s">
        <v>1253</v>
      </c>
      <c r="D1865" s="113">
        <v>0</v>
      </c>
    </row>
    <row r="1866" spans="1:4">
      <c r="A1866" s="107">
        <v>1</v>
      </c>
      <c r="B1866" s="1324"/>
      <c r="C1866" t="s">
        <v>421</v>
      </c>
      <c r="D1866" s="113">
        <v>17835.5</v>
      </c>
    </row>
    <row r="1867" spans="1:4" ht="12.75" customHeight="1">
      <c r="A1867" s="107">
        <v>1</v>
      </c>
      <c r="B1867" s="1323" t="s">
        <v>1049</v>
      </c>
      <c r="C1867" t="s">
        <v>444</v>
      </c>
      <c r="D1867" s="113">
        <v>156668.79999999999</v>
      </c>
    </row>
    <row r="1868" spans="1:4">
      <c r="A1868" s="107">
        <v>1</v>
      </c>
      <c r="B1868" s="1324"/>
      <c r="C1868" t="s">
        <v>445</v>
      </c>
      <c r="D1868" s="113">
        <v>14828.7</v>
      </c>
    </row>
    <row r="1869" spans="1:4">
      <c r="A1869" s="107">
        <v>1</v>
      </c>
      <c r="B1869" s="1324"/>
      <c r="C1869" t="s">
        <v>446</v>
      </c>
      <c r="D1869" s="113">
        <v>0</v>
      </c>
    </row>
    <row r="1870" spans="1:4">
      <c r="A1870" s="107">
        <v>1</v>
      </c>
      <c r="B1870" s="1324"/>
      <c r="C1870" t="s">
        <v>1253</v>
      </c>
      <c r="D1870" s="113">
        <v>0</v>
      </c>
    </row>
    <row r="1871" spans="1:4">
      <c r="A1871" s="107">
        <v>1</v>
      </c>
      <c r="B1871" s="1324"/>
      <c r="C1871" t="s">
        <v>421</v>
      </c>
      <c r="D1871" s="113">
        <v>0</v>
      </c>
    </row>
    <row r="1872" spans="1:4">
      <c r="A1872" s="107">
        <v>2</v>
      </c>
      <c r="B1872" s="1323" t="s">
        <v>1050</v>
      </c>
      <c r="C1872" t="s">
        <v>444</v>
      </c>
      <c r="D1872" s="113">
        <v>0</v>
      </c>
    </row>
    <row r="1873" spans="1:4">
      <c r="A1873" s="107">
        <v>2</v>
      </c>
      <c r="B1873" s="1324"/>
      <c r="C1873" t="s">
        <v>445</v>
      </c>
      <c r="D1873" s="113">
        <v>0</v>
      </c>
    </row>
    <row r="1874" spans="1:4">
      <c r="A1874" s="107">
        <v>2</v>
      </c>
      <c r="B1874" s="1324"/>
      <c r="C1874" t="s">
        <v>446</v>
      </c>
      <c r="D1874" s="113">
        <v>9245.9</v>
      </c>
    </row>
    <row r="1875" spans="1:4">
      <c r="A1875" s="107">
        <v>2</v>
      </c>
      <c r="B1875" s="1324"/>
      <c r="C1875" t="s">
        <v>1253</v>
      </c>
      <c r="D1875" s="113">
        <v>0</v>
      </c>
    </row>
    <row r="1876" spans="1:4">
      <c r="A1876" s="107">
        <v>2</v>
      </c>
      <c r="B1876" s="1324"/>
      <c r="C1876" t="s">
        <v>421</v>
      </c>
      <c r="D1876" s="113">
        <v>0</v>
      </c>
    </row>
    <row r="1877" spans="1:4" ht="12.75" customHeight="1">
      <c r="A1877" s="107">
        <v>1</v>
      </c>
      <c r="B1877" s="1323" t="s">
        <v>1051</v>
      </c>
      <c r="C1877" t="s">
        <v>444</v>
      </c>
      <c r="D1877" s="113">
        <v>73107.899999999994</v>
      </c>
    </row>
    <row r="1878" spans="1:4">
      <c r="A1878" s="107">
        <v>1</v>
      </c>
      <c r="B1878" s="1324"/>
      <c r="C1878" t="s">
        <v>445</v>
      </c>
      <c r="D1878" s="113">
        <v>0</v>
      </c>
    </row>
    <row r="1879" spans="1:4">
      <c r="A1879" s="107">
        <v>1</v>
      </c>
      <c r="B1879" s="1324"/>
      <c r="C1879" t="s">
        <v>446</v>
      </c>
      <c r="D1879" s="113">
        <v>22766.799999999999</v>
      </c>
    </row>
    <row r="1880" spans="1:4">
      <c r="A1880" s="107">
        <v>1</v>
      </c>
      <c r="B1880" s="1324"/>
      <c r="C1880" t="s">
        <v>1253</v>
      </c>
      <c r="D1880" s="113">
        <v>0</v>
      </c>
    </row>
    <row r="1881" spans="1:4">
      <c r="A1881" s="107">
        <v>1</v>
      </c>
      <c r="B1881" s="1324"/>
      <c r="C1881" t="s">
        <v>421</v>
      </c>
      <c r="D1881" s="113">
        <v>0</v>
      </c>
    </row>
    <row r="1882" spans="1:4" ht="12.75" customHeight="1">
      <c r="A1882" s="107">
        <v>2</v>
      </c>
      <c r="B1882" s="1323" t="s">
        <v>1052</v>
      </c>
      <c r="C1882" t="s">
        <v>444</v>
      </c>
      <c r="D1882" s="113">
        <v>0</v>
      </c>
    </row>
    <row r="1883" spans="1:4">
      <c r="A1883" s="107">
        <v>2</v>
      </c>
      <c r="B1883" s="1324"/>
      <c r="C1883" t="s">
        <v>445</v>
      </c>
      <c r="D1883" s="113">
        <v>0</v>
      </c>
    </row>
    <row r="1884" spans="1:4">
      <c r="A1884" s="107">
        <v>2</v>
      </c>
      <c r="B1884" s="1324"/>
      <c r="C1884" t="s">
        <v>446</v>
      </c>
      <c r="D1884" s="113">
        <v>8559.5</v>
      </c>
    </row>
    <row r="1885" spans="1:4">
      <c r="A1885" s="107">
        <v>2</v>
      </c>
      <c r="B1885" s="1324"/>
      <c r="C1885" t="s">
        <v>1253</v>
      </c>
      <c r="D1885" s="113">
        <v>0</v>
      </c>
    </row>
    <row r="1886" spans="1:4">
      <c r="A1886" s="107">
        <v>2</v>
      </c>
      <c r="B1886" s="1324"/>
      <c r="C1886" t="s">
        <v>421</v>
      </c>
      <c r="D1886" s="113">
        <v>0</v>
      </c>
    </row>
    <row r="1887" spans="1:4" ht="12.75" customHeight="1">
      <c r="A1887" s="107">
        <v>4</v>
      </c>
      <c r="B1887" s="1323" t="s">
        <v>1053</v>
      </c>
      <c r="C1887" t="s">
        <v>444</v>
      </c>
      <c r="D1887" s="113">
        <v>652104.80000000005</v>
      </c>
    </row>
    <row r="1888" spans="1:4">
      <c r="A1888" s="107">
        <v>4</v>
      </c>
      <c r="B1888" s="1324"/>
      <c r="C1888" t="s">
        <v>445</v>
      </c>
      <c r="D1888" s="113">
        <v>0</v>
      </c>
    </row>
    <row r="1889" spans="1:4" ht="17.25" customHeight="1">
      <c r="A1889" s="107">
        <v>4</v>
      </c>
      <c r="B1889" s="1324"/>
      <c r="C1889" t="s">
        <v>446</v>
      </c>
      <c r="D1889" s="113">
        <v>19257.599999999999</v>
      </c>
    </row>
    <row r="1890" spans="1:4" ht="17.25" customHeight="1">
      <c r="A1890" s="107">
        <v>4</v>
      </c>
      <c r="B1890" s="1324"/>
      <c r="C1890" t="s">
        <v>1253</v>
      </c>
      <c r="D1890" s="113">
        <v>0</v>
      </c>
    </row>
    <row r="1891" spans="1:4">
      <c r="A1891" s="107">
        <v>4</v>
      </c>
      <c r="B1891" s="1324"/>
      <c r="C1891" t="s">
        <v>421</v>
      </c>
      <c r="D1891" s="113">
        <v>0</v>
      </c>
    </row>
    <row r="1892" spans="1:4">
      <c r="A1892" s="107">
        <v>1</v>
      </c>
      <c r="B1892" s="1323" t="s">
        <v>1054</v>
      </c>
      <c r="C1892" t="s">
        <v>444</v>
      </c>
      <c r="D1892" s="113">
        <v>41173.800000000003</v>
      </c>
    </row>
    <row r="1893" spans="1:4">
      <c r="A1893" s="107">
        <v>1</v>
      </c>
      <c r="B1893" s="1324"/>
      <c r="C1893" t="s">
        <v>445</v>
      </c>
      <c r="D1893" s="113">
        <v>0</v>
      </c>
    </row>
    <row r="1894" spans="1:4">
      <c r="A1894" s="107">
        <v>1</v>
      </c>
      <c r="B1894" s="1324"/>
      <c r="C1894" t="s">
        <v>446</v>
      </c>
      <c r="D1894" s="113">
        <v>11078.4</v>
      </c>
    </row>
    <row r="1895" spans="1:4">
      <c r="A1895" s="107">
        <v>1</v>
      </c>
      <c r="B1895" s="1324"/>
      <c r="C1895" t="s">
        <v>1253</v>
      </c>
      <c r="D1895" s="113">
        <v>0</v>
      </c>
    </row>
    <row r="1896" spans="1:4">
      <c r="A1896" s="107">
        <v>1</v>
      </c>
      <c r="B1896" s="1325"/>
      <c r="C1896" t="s">
        <v>421</v>
      </c>
      <c r="D1896" s="113">
        <v>0</v>
      </c>
    </row>
    <row r="1897" spans="1:4" ht="12.75" customHeight="1">
      <c r="A1897" s="107">
        <v>11</v>
      </c>
      <c r="B1897" s="1323" t="s">
        <v>1055</v>
      </c>
      <c r="C1897" t="s">
        <v>444</v>
      </c>
      <c r="D1897" s="113">
        <v>950570.7</v>
      </c>
    </row>
    <row r="1898" spans="1:4">
      <c r="A1898" s="107">
        <v>11</v>
      </c>
      <c r="B1898" s="1324"/>
      <c r="C1898" t="s">
        <v>445</v>
      </c>
      <c r="D1898" s="113">
        <v>1595126.3</v>
      </c>
    </row>
    <row r="1899" spans="1:4">
      <c r="A1899" s="107">
        <v>11</v>
      </c>
      <c r="B1899" s="1324"/>
      <c r="C1899" t="s">
        <v>446</v>
      </c>
      <c r="D1899" s="113">
        <v>5827.1</v>
      </c>
    </row>
    <row r="1900" spans="1:4">
      <c r="A1900" s="107">
        <v>11</v>
      </c>
      <c r="B1900" s="1324"/>
      <c r="C1900" t="s">
        <v>1253</v>
      </c>
      <c r="D1900" s="113">
        <v>0</v>
      </c>
    </row>
    <row r="1901" spans="1:4">
      <c r="A1901" s="107">
        <v>11</v>
      </c>
      <c r="B1901" s="1325"/>
      <c r="C1901" t="s">
        <v>421</v>
      </c>
      <c r="D1901" s="113">
        <v>0</v>
      </c>
    </row>
    <row r="1902" spans="1:4" ht="12.75" customHeight="1">
      <c r="A1902" s="107">
        <v>1</v>
      </c>
      <c r="B1902" s="1323" t="s">
        <v>1056</v>
      </c>
      <c r="C1902" t="s">
        <v>444</v>
      </c>
      <c r="D1902" s="113">
        <v>1116738.3</v>
      </c>
    </row>
    <row r="1903" spans="1:4">
      <c r="A1903" s="107">
        <v>1</v>
      </c>
      <c r="B1903" s="1324"/>
      <c r="C1903" t="s">
        <v>445</v>
      </c>
      <c r="D1903" s="113">
        <v>18276.5</v>
      </c>
    </row>
    <row r="1904" spans="1:4">
      <c r="A1904" s="107">
        <v>1</v>
      </c>
      <c r="B1904" s="1324"/>
      <c r="C1904" t="s">
        <v>446</v>
      </c>
      <c r="D1904" s="113">
        <v>344134</v>
      </c>
    </row>
    <row r="1905" spans="1:4">
      <c r="A1905" s="107">
        <v>1</v>
      </c>
      <c r="B1905" s="1324"/>
      <c r="C1905" t="s">
        <v>1253</v>
      </c>
      <c r="D1905" s="113">
        <v>0</v>
      </c>
    </row>
    <row r="1906" spans="1:4">
      <c r="A1906" s="107">
        <v>1</v>
      </c>
      <c r="B1906" s="1325"/>
      <c r="C1906" t="s">
        <v>421</v>
      </c>
      <c r="D1906" s="113">
        <v>26723.9</v>
      </c>
    </row>
    <row r="1907" spans="1:4">
      <c r="A1907" s="107">
        <v>2</v>
      </c>
      <c r="B1907" s="1323" t="s">
        <v>1057</v>
      </c>
      <c r="C1907" t="s">
        <v>444</v>
      </c>
      <c r="D1907" s="113">
        <v>0</v>
      </c>
    </row>
    <row r="1908" spans="1:4">
      <c r="A1908" s="107">
        <v>2</v>
      </c>
      <c r="B1908" s="1324"/>
      <c r="C1908" t="s">
        <v>445</v>
      </c>
      <c r="D1908" s="113">
        <v>0</v>
      </c>
    </row>
    <row r="1909" spans="1:4">
      <c r="A1909" s="107">
        <v>2</v>
      </c>
      <c r="B1909" s="1324"/>
      <c r="C1909" t="s">
        <v>446</v>
      </c>
      <c r="D1909" s="113">
        <v>3629.1</v>
      </c>
    </row>
    <row r="1910" spans="1:4">
      <c r="A1910" s="107">
        <v>2</v>
      </c>
      <c r="B1910" s="1324"/>
      <c r="C1910" t="s">
        <v>1253</v>
      </c>
      <c r="D1910" s="113">
        <v>0</v>
      </c>
    </row>
    <row r="1911" spans="1:4">
      <c r="A1911" s="107">
        <v>2</v>
      </c>
      <c r="B1911" s="1325"/>
      <c r="C1911" t="s">
        <v>421</v>
      </c>
      <c r="D1911" s="113">
        <v>0</v>
      </c>
    </row>
    <row r="1912" spans="1:4">
      <c r="A1912" s="107">
        <v>1</v>
      </c>
      <c r="B1912" s="1323" t="s">
        <v>1058</v>
      </c>
      <c r="C1912" t="s">
        <v>444</v>
      </c>
      <c r="D1912" s="113">
        <v>599171.30000000005</v>
      </c>
    </row>
    <row r="1913" spans="1:4">
      <c r="A1913" s="107">
        <v>1</v>
      </c>
      <c r="B1913" s="1324"/>
      <c r="C1913" t="s">
        <v>445</v>
      </c>
      <c r="D1913" s="113">
        <v>0</v>
      </c>
    </row>
    <row r="1914" spans="1:4">
      <c r="A1914" s="107">
        <v>1</v>
      </c>
      <c r="B1914" s="1324"/>
      <c r="C1914" t="s">
        <v>446</v>
      </c>
      <c r="D1914" s="113">
        <v>46056</v>
      </c>
    </row>
    <row r="1915" spans="1:4">
      <c r="A1915" s="107">
        <v>1</v>
      </c>
      <c r="B1915" s="1324"/>
      <c r="C1915" t="s">
        <v>1253</v>
      </c>
      <c r="D1915" s="113">
        <v>0</v>
      </c>
    </row>
    <row r="1916" spans="1:4">
      <c r="A1916" s="107">
        <v>1</v>
      </c>
      <c r="B1916" s="1324"/>
      <c r="C1916" t="s">
        <v>421</v>
      </c>
      <c r="D1916" s="113">
        <v>6565.9</v>
      </c>
    </row>
    <row r="1917" spans="1:4">
      <c r="A1917" s="107">
        <v>1</v>
      </c>
      <c r="B1917" s="1323" t="s">
        <v>1059</v>
      </c>
      <c r="C1917" t="s">
        <v>444</v>
      </c>
      <c r="D1917" s="113">
        <v>174347.4</v>
      </c>
    </row>
    <row r="1918" spans="1:4">
      <c r="A1918" s="107">
        <v>1</v>
      </c>
      <c r="B1918" s="1324"/>
      <c r="C1918" t="s">
        <v>445</v>
      </c>
      <c r="D1918" s="113">
        <v>0</v>
      </c>
    </row>
    <row r="1919" spans="1:4">
      <c r="A1919" s="107">
        <v>1</v>
      </c>
      <c r="B1919" s="1324"/>
      <c r="C1919" t="s">
        <v>446</v>
      </c>
      <c r="D1919" s="113">
        <v>52520.5</v>
      </c>
    </row>
    <row r="1920" spans="1:4">
      <c r="A1920" s="107">
        <v>1</v>
      </c>
      <c r="B1920" s="1324"/>
      <c r="C1920" t="s">
        <v>1253</v>
      </c>
      <c r="D1920" s="113">
        <v>0</v>
      </c>
    </row>
    <row r="1921" spans="1:4">
      <c r="A1921" s="107">
        <v>1</v>
      </c>
      <c r="B1921" s="1324"/>
      <c r="C1921" t="s">
        <v>421</v>
      </c>
      <c r="D1921" s="113">
        <v>1989.4</v>
      </c>
    </row>
    <row r="1922" spans="1:4">
      <c r="A1922" s="107">
        <v>4</v>
      </c>
      <c r="B1922" s="1323" t="s">
        <v>1060</v>
      </c>
      <c r="C1922" t="s">
        <v>444</v>
      </c>
      <c r="D1922" s="113">
        <v>350131</v>
      </c>
    </row>
    <row r="1923" spans="1:4">
      <c r="A1923" s="107">
        <v>4</v>
      </c>
      <c r="B1923" s="1324"/>
      <c r="C1923" t="s">
        <v>445</v>
      </c>
      <c r="D1923" s="113">
        <v>0</v>
      </c>
    </row>
    <row r="1924" spans="1:4">
      <c r="A1924" s="107">
        <v>4</v>
      </c>
      <c r="B1924" s="1324"/>
      <c r="C1924" t="s">
        <v>446</v>
      </c>
      <c r="D1924" s="113">
        <v>0</v>
      </c>
    </row>
    <row r="1925" spans="1:4">
      <c r="A1925" s="107">
        <v>4</v>
      </c>
      <c r="B1925" s="1324"/>
      <c r="C1925" t="s">
        <v>1253</v>
      </c>
      <c r="D1925" s="113">
        <v>0</v>
      </c>
    </row>
    <row r="1926" spans="1:4">
      <c r="A1926" s="107">
        <v>4</v>
      </c>
      <c r="B1926" s="1324"/>
      <c r="C1926" t="s">
        <v>421</v>
      </c>
      <c r="D1926" s="113">
        <v>12049.5</v>
      </c>
    </row>
    <row r="1927" spans="1:4">
      <c r="A1927" s="107">
        <v>1</v>
      </c>
      <c r="B1927" s="1323" t="s">
        <v>1061</v>
      </c>
      <c r="C1927" t="s">
        <v>444</v>
      </c>
      <c r="D1927" s="113">
        <v>201.2</v>
      </c>
    </row>
    <row r="1928" spans="1:4">
      <c r="A1928" s="107">
        <v>1</v>
      </c>
      <c r="B1928" s="1324"/>
      <c r="C1928" t="s">
        <v>445</v>
      </c>
      <c r="D1928" s="113">
        <v>0</v>
      </c>
    </row>
    <row r="1929" spans="1:4">
      <c r="A1929" s="107">
        <v>1</v>
      </c>
      <c r="B1929" s="1324"/>
      <c r="C1929" t="s">
        <v>446</v>
      </c>
      <c r="D1929" s="113">
        <v>2732.1</v>
      </c>
    </row>
    <row r="1930" spans="1:4">
      <c r="A1930" s="107">
        <v>1</v>
      </c>
      <c r="B1930" s="1324"/>
      <c r="C1930" t="s">
        <v>1253</v>
      </c>
      <c r="D1930" s="113">
        <v>0</v>
      </c>
    </row>
    <row r="1931" spans="1:4">
      <c r="A1931" s="107">
        <v>1</v>
      </c>
      <c r="B1931" s="1324"/>
      <c r="C1931" t="s">
        <v>421</v>
      </c>
      <c r="D1931" s="113">
        <v>0</v>
      </c>
    </row>
    <row r="1932" spans="1:4">
      <c r="A1932" s="107">
        <v>1</v>
      </c>
      <c r="B1932" s="1323" t="s">
        <v>1062</v>
      </c>
      <c r="C1932" t="s">
        <v>444</v>
      </c>
      <c r="D1932" s="113">
        <v>113478.9</v>
      </c>
    </row>
    <row r="1933" spans="1:4">
      <c r="A1933" s="107">
        <v>1</v>
      </c>
      <c r="B1933" s="1324"/>
      <c r="C1933" t="s">
        <v>445</v>
      </c>
      <c r="D1933" s="113">
        <v>7040.5</v>
      </c>
    </row>
    <row r="1934" spans="1:4">
      <c r="A1934" s="107">
        <v>1</v>
      </c>
      <c r="B1934" s="1324"/>
      <c r="C1934" t="s">
        <v>446</v>
      </c>
      <c r="D1934" s="113">
        <v>28072.9</v>
      </c>
    </row>
    <row r="1935" spans="1:4">
      <c r="A1935" s="107">
        <v>1</v>
      </c>
      <c r="B1935" s="1324"/>
      <c r="C1935" t="s">
        <v>1253</v>
      </c>
      <c r="D1935" s="113">
        <v>0</v>
      </c>
    </row>
    <row r="1936" spans="1:4">
      <c r="A1936" s="107">
        <v>1</v>
      </c>
      <c r="B1936" s="1324"/>
      <c r="C1936" t="s">
        <v>421</v>
      </c>
      <c r="D1936" s="113">
        <v>0</v>
      </c>
    </row>
    <row r="1937" spans="1:4">
      <c r="A1937" s="107">
        <v>1</v>
      </c>
      <c r="B1937" s="1323" t="s">
        <v>1063</v>
      </c>
      <c r="C1937" t="s">
        <v>444</v>
      </c>
      <c r="D1937" s="113">
        <v>80596.5</v>
      </c>
    </row>
    <row r="1938" spans="1:4">
      <c r="A1938" s="107">
        <v>1</v>
      </c>
      <c r="B1938" s="1324"/>
      <c r="C1938" t="s">
        <v>445</v>
      </c>
      <c r="D1938" s="113">
        <v>2901.4</v>
      </c>
    </row>
    <row r="1939" spans="1:4">
      <c r="A1939" s="107">
        <v>1</v>
      </c>
      <c r="B1939" s="1324"/>
      <c r="C1939" t="s">
        <v>446</v>
      </c>
      <c r="D1939" s="113">
        <v>8290.7999999999993</v>
      </c>
    </row>
    <row r="1940" spans="1:4">
      <c r="A1940" s="107">
        <v>1</v>
      </c>
      <c r="B1940" s="1324"/>
      <c r="C1940" t="s">
        <v>1253</v>
      </c>
      <c r="D1940" s="113">
        <v>0</v>
      </c>
    </row>
    <row r="1941" spans="1:4">
      <c r="A1941" s="107">
        <v>1</v>
      </c>
      <c r="B1941" s="1324"/>
      <c r="C1941" t="s">
        <v>421</v>
      </c>
      <c r="D1941" s="113">
        <v>0</v>
      </c>
    </row>
    <row r="1942" spans="1:4">
      <c r="A1942" s="107">
        <v>4</v>
      </c>
      <c r="B1942" s="1323" t="s">
        <v>1064</v>
      </c>
      <c r="C1942" t="s">
        <v>444</v>
      </c>
      <c r="D1942" s="113">
        <v>307731.5</v>
      </c>
    </row>
    <row r="1943" spans="1:4">
      <c r="A1943" s="107">
        <v>4</v>
      </c>
      <c r="B1943" s="1324"/>
      <c r="C1943" t="s">
        <v>445</v>
      </c>
      <c r="D1943" s="113">
        <v>62217.1</v>
      </c>
    </row>
    <row r="1944" spans="1:4">
      <c r="A1944" s="107">
        <v>4</v>
      </c>
      <c r="B1944" s="1324"/>
      <c r="C1944" t="s">
        <v>446</v>
      </c>
      <c r="D1944" s="113">
        <v>100874.3</v>
      </c>
    </row>
    <row r="1945" spans="1:4">
      <c r="A1945" s="107">
        <v>4</v>
      </c>
      <c r="B1945" s="1324"/>
      <c r="C1945" t="s">
        <v>1253</v>
      </c>
      <c r="D1945" s="113">
        <v>0</v>
      </c>
    </row>
    <row r="1946" spans="1:4">
      <c r="A1946" s="107">
        <v>4</v>
      </c>
      <c r="B1946" s="1324"/>
      <c r="C1946" t="s">
        <v>421</v>
      </c>
      <c r="D1946" s="113">
        <v>0</v>
      </c>
    </row>
    <row r="1947" spans="1:4">
      <c r="A1947" s="107">
        <v>1</v>
      </c>
      <c r="B1947" s="1324" t="s">
        <v>1065</v>
      </c>
      <c r="C1947" t="s">
        <v>444</v>
      </c>
      <c r="D1947" s="113">
        <v>101603.7</v>
      </c>
    </row>
    <row r="1948" spans="1:4">
      <c r="A1948" s="107">
        <v>1</v>
      </c>
      <c r="B1948" s="1324"/>
      <c r="C1948" t="s">
        <v>445</v>
      </c>
      <c r="D1948" s="113">
        <v>0</v>
      </c>
    </row>
    <row r="1949" spans="1:4">
      <c r="A1949" s="107">
        <v>1</v>
      </c>
      <c r="B1949" s="1324"/>
      <c r="C1949" t="s">
        <v>446</v>
      </c>
      <c r="D1949" s="113">
        <v>11797.2</v>
      </c>
    </row>
    <row r="1950" spans="1:4">
      <c r="A1950" s="107">
        <v>1</v>
      </c>
      <c r="B1950" s="1324"/>
      <c r="C1950" t="s">
        <v>1253</v>
      </c>
      <c r="D1950" s="113">
        <v>0</v>
      </c>
    </row>
    <row r="1951" spans="1:4">
      <c r="A1951" s="107">
        <v>1</v>
      </c>
      <c r="B1951" s="1325"/>
      <c r="C1951" t="s">
        <v>421</v>
      </c>
      <c r="D1951" s="113">
        <v>0</v>
      </c>
    </row>
    <row r="1952" spans="1:4">
      <c r="A1952" s="107">
        <v>1</v>
      </c>
      <c r="B1952" s="1323" t="s">
        <v>1066</v>
      </c>
      <c r="C1952" t="s">
        <v>444</v>
      </c>
      <c r="D1952" s="113">
        <v>874059.8</v>
      </c>
    </row>
    <row r="1953" spans="1:4">
      <c r="A1953" s="107">
        <v>1</v>
      </c>
      <c r="B1953" s="1324"/>
      <c r="C1953" t="s">
        <v>445</v>
      </c>
      <c r="D1953" s="113">
        <v>275950.7</v>
      </c>
    </row>
    <row r="1954" spans="1:4">
      <c r="A1954" s="107">
        <v>1</v>
      </c>
      <c r="B1954" s="1324"/>
      <c r="C1954" t="s">
        <v>446</v>
      </c>
      <c r="D1954" s="113">
        <v>75530.3</v>
      </c>
    </row>
    <row r="1955" spans="1:4">
      <c r="A1955" s="107">
        <v>1</v>
      </c>
      <c r="B1955" s="1324"/>
      <c r="C1955" t="s">
        <v>1253</v>
      </c>
      <c r="D1955" s="113">
        <v>0</v>
      </c>
    </row>
    <row r="1956" spans="1:4">
      <c r="A1956" s="107">
        <v>1</v>
      </c>
      <c r="B1956" s="1324"/>
      <c r="C1956" t="s">
        <v>421</v>
      </c>
      <c r="D1956" s="113">
        <v>20225.099999999999</v>
      </c>
    </row>
    <row r="1957" spans="1:4">
      <c r="A1957" s="107">
        <v>3</v>
      </c>
      <c r="B1957" s="1323" t="s">
        <v>1067</v>
      </c>
      <c r="C1957" t="s">
        <v>444</v>
      </c>
      <c r="D1957" s="113">
        <v>77687.100000000006</v>
      </c>
    </row>
    <row r="1958" spans="1:4">
      <c r="A1958" s="107">
        <v>3</v>
      </c>
      <c r="B1958" s="1324"/>
      <c r="C1958" t="s">
        <v>445</v>
      </c>
      <c r="D1958" s="113">
        <v>0</v>
      </c>
    </row>
    <row r="1959" spans="1:4">
      <c r="A1959" s="107">
        <v>3</v>
      </c>
      <c r="B1959" s="1324"/>
      <c r="C1959" t="s">
        <v>446</v>
      </c>
      <c r="D1959" s="113">
        <v>24338.1</v>
      </c>
    </row>
    <row r="1960" spans="1:4">
      <c r="A1960" s="107">
        <v>3</v>
      </c>
      <c r="B1960" s="1324"/>
      <c r="C1960" t="s">
        <v>1253</v>
      </c>
      <c r="D1960" s="113">
        <v>0</v>
      </c>
    </row>
    <row r="1961" spans="1:4">
      <c r="A1961" s="107">
        <v>3</v>
      </c>
      <c r="B1961" s="1324"/>
      <c r="C1961" t="s">
        <v>421</v>
      </c>
      <c r="D1961" s="113">
        <v>0</v>
      </c>
    </row>
    <row r="1962" spans="1:4">
      <c r="A1962" s="107">
        <v>15</v>
      </c>
      <c r="B1962" s="1323" t="s">
        <v>1068</v>
      </c>
      <c r="C1962" t="s">
        <v>444</v>
      </c>
      <c r="D1962" s="113">
        <v>201732</v>
      </c>
    </row>
    <row r="1963" spans="1:4">
      <c r="A1963" s="107">
        <v>15</v>
      </c>
      <c r="B1963" s="1324"/>
      <c r="C1963" t="s">
        <v>445</v>
      </c>
      <c r="D1963" s="113">
        <v>0</v>
      </c>
    </row>
    <row r="1964" spans="1:4">
      <c r="A1964" s="107">
        <v>15</v>
      </c>
      <c r="B1964" s="1324"/>
      <c r="C1964" t="s">
        <v>446</v>
      </c>
      <c r="D1964" s="113">
        <v>8631.4</v>
      </c>
    </row>
    <row r="1965" spans="1:4">
      <c r="A1965" s="107">
        <v>15</v>
      </c>
      <c r="B1965" s="1324"/>
      <c r="C1965" t="s">
        <v>1253</v>
      </c>
      <c r="D1965" s="113">
        <v>17754.3</v>
      </c>
    </row>
    <row r="1966" spans="1:4">
      <c r="A1966" s="107">
        <v>15</v>
      </c>
      <c r="B1966" s="1324"/>
      <c r="C1966" t="s">
        <v>421</v>
      </c>
      <c r="D1966" s="113">
        <v>5656.8</v>
      </c>
    </row>
    <row r="1967" spans="1:4">
      <c r="A1967" s="107">
        <v>2</v>
      </c>
      <c r="B1967" s="1323" t="s">
        <v>1069</v>
      </c>
      <c r="C1967" t="s">
        <v>444</v>
      </c>
      <c r="D1967" s="113">
        <v>0</v>
      </c>
    </row>
    <row r="1968" spans="1:4">
      <c r="A1968" s="107">
        <v>2</v>
      </c>
      <c r="B1968" s="1324"/>
      <c r="C1968" t="s">
        <v>445</v>
      </c>
      <c r="D1968" s="113">
        <v>0</v>
      </c>
    </row>
    <row r="1969" spans="1:4">
      <c r="A1969" s="107">
        <v>2</v>
      </c>
      <c r="B1969" s="1324"/>
      <c r="C1969" t="s">
        <v>446</v>
      </c>
      <c r="D1969" s="113">
        <v>196227.4</v>
      </c>
    </row>
    <row r="1970" spans="1:4">
      <c r="A1970" s="107">
        <v>2</v>
      </c>
      <c r="B1970" s="1324"/>
      <c r="C1970" t="s">
        <v>1253</v>
      </c>
      <c r="D1970" s="113">
        <v>0</v>
      </c>
    </row>
    <row r="1971" spans="1:4">
      <c r="A1971" s="107">
        <v>2</v>
      </c>
      <c r="B1971" s="1324"/>
      <c r="C1971" t="s">
        <v>421</v>
      </c>
      <c r="D1971" s="113">
        <v>0</v>
      </c>
    </row>
    <row r="1972" spans="1:4">
      <c r="A1972" s="107">
        <v>1</v>
      </c>
      <c r="B1972" s="1323" t="s">
        <v>1070</v>
      </c>
      <c r="C1972" t="s">
        <v>444</v>
      </c>
      <c r="D1972" s="113">
        <v>185096.7</v>
      </c>
    </row>
    <row r="1973" spans="1:4">
      <c r="A1973" s="107">
        <v>1</v>
      </c>
      <c r="B1973" s="1324"/>
      <c r="C1973" t="s">
        <v>445</v>
      </c>
      <c r="D1973" s="113">
        <v>49947.5</v>
      </c>
    </row>
    <row r="1974" spans="1:4">
      <c r="A1974" s="107">
        <v>1</v>
      </c>
      <c r="B1974" s="1324"/>
      <c r="C1974" t="s">
        <v>446</v>
      </c>
      <c r="D1974" s="113">
        <v>113088.4</v>
      </c>
    </row>
    <row r="1975" spans="1:4">
      <c r="A1975" s="107">
        <v>1</v>
      </c>
      <c r="B1975" s="1324"/>
      <c r="C1975" t="s">
        <v>1253</v>
      </c>
      <c r="D1975" s="113">
        <v>0</v>
      </c>
    </row>
    <row r="1976" spans="1:4">
      <c r="A1976" s="107">
        <v>1</v>
      </c>
      <c r="B1976" s="1324"/>
      <c r="C1976" t="s">
        <v>421</v>
      </c>
      <c r="D1976" s="113">
        <v>0</v>
      </c>
    </row>
    <row r="1977" spans="1:4">
      <c r="A1977" s="107">
        <v>10</v>
      </c>
      <c r="B1977" s="1323" t="s">
        <v>1071</v>
      </c>
      <c r="C1977" t="s">
        <v>444</v>
      </c>
      <c r="D1977" s="113">
        <v>0</v>
      </c>
    </row>
    <row r="1978" spans="1:4">
      <c r="A1978" s="107">
        <v>10</v>
      </c>
      <c r="B1978" s="1324"/>
      <c r="C1978" t="s">
        <v>445</v>
      </c>
      <c r="D1978" s="113">
        <v>0</v>
      </c>
    </row>
    <row r="1979" spans="1:4">
      <c r="A1979" s="107">
        <v>10</v>
      </c>
      <c r="B1979" s="1324"/>
      <c r="C1979" t="s">
        <v>446</v>
      </c>
      <c r="D1979" s="113">
        <v>95890</v>
      </c>
    </row>
    <row r="1980" spans="1:4">
      <c r="A1980" s="107">
        <v>10</v>
      </c>
      <c r="B1980" s="1324"/>
      <c r="C1980" t="s">
        <v>1253</v>
      </c>
      <c r="D1980" s="113">
        <v>0</v>
      </c>
    </row>
    <row r="1981" spans="1:4">
      <c r="A1981" s="107">
        <v>10</v>
      </c>
      <c r="B1981" s="1324"/>
      <c r="C1981" t="s">
        <v>421</v>
      </c>
      <c r="D1981" s="113">
        <v>0</v>
      </c>
    </row>
    <row r="1982" spans="1:4">
      <c r="A1982" s="107">
        <v>10</v>
      </c>
      <c r="B1982" s="1323" t="s">
        <v>1072</v>
      </c>
      <c r="C1982" t="s">
        <v>444</v>
      </c>
      <c r="D1982" s="113">
        <v>0</v>
      </c>
    </row>
    <row r="1983" spans="1:4">
      <c r="A1983" s="107">
        <v>10</v>
      </c>
      <c r="B1983" s="1324"/>
      <c r="C1983" t="s">
        <v>445</v>
      </c>
      <c r="D1983" s="113">
        <v>0</v>
      </c>
    </row>
    <row r="1984" spans="1:4">
      <c r="A1984" s="107">
        <v>10</v>
      </c>
      <c r="B1984" s="1324"/>
      <c r="C1984" t="s">
        <v>446</v>
      </c>
      <c r="D1984" s="113">
        <v>255319.7</v>
      </c>
    </row>
    <row r="1985" spans="1:4">
      <c r="A1985" s="107">
        <v>10</v>
      </c>
      <c r="B1985" s="1324"/>
      <c r="C1985" t="s">
        <v>1253</v>
      </c>
      <c r="D1985" s="113">
        <v>0</v>
      </c>
    </row>
    <row r="1986" spans="1:4">
      <c r="A1986" s="107">
        <v>10</v>
      </c>
      <c r="B1986" s="1324"/>
      <c r="C1986" t="s">
        <v>421</v>
      </c>
      <c r="D1986" s="113">
        <v>0</v>
      </c>
    </row>
    <row r="1987" spans="1:4" ht="12.75" customHeight="1">
      <c r="A1987" s="107">
        <v>2</v>
      </c>
      <c r="B1987" s="1323" t="s">
        <v>1073</v>
      </c>
      <c r="C1987" t="s">
        <v>444</v>
      </c>
      <c r="D1987" s="113">
        <v>35797.699999999997</v>
      </c>
    </row>
    <row r="1988" spans="1:4">
      <c r="A1988" s="107">
        <v>2</v>
      </c>
      <c r="B1988" s="1324"/>
      <c r="C1988" t="s">
        <v>445</v>
      </c>
      <c r="D1988" s="113">
        <v>24281.3</v>
      </c>
    </row>
    <row r="1989" spans="1:4">
      <c r="A1989" s="107">
        <v>2</v>
      </c>
      <c r="B1989" s="1324"/>
      <c r="C1989" t="s">
        <v>446</v>
      </c>
      <c r="D1989" s="113">
        <v>0</v>
      </c>
    </row>
    <row r="1990" spans="1:4">
      <c r="A1990" s="107">
        <v>2</v>
      </c>
      <c r="B1990" s="1324"/>
      <c r="C1990" t="s">
        <v>1253</v>
      </c>
      <c r="D1990" s="113">
        <v>0</v>
      </c>
    </row>
    <row r="1991" spans="1:4">
      <c r="A1991" s="107">
        <v>2</v>
      </c>
      <c r="B1991" s="1325"/>
      <c r="C1991" t="s">
        <v>421</v>
      </c>
      <c r="D1991" s="113">
        <v>0</v>
      </c>
    </row>
    <row r="1992" spans="1:4" ht="12.75" customHeight="1">
      <c r="A1992" s="107">
        <v>1</v>
      </c>
      <c r="B1992" s="1323" t="s">
        <v>1074</v>
      </c>
      <c r="C1992" t="s">
        <v>444</v>
      </c>
      <c r="D1992" s="113">
        <v>0</v>
      </c>
    </row>
    <row r="1993" spans="1:4">
      <c r="A1993" s="107">
        <v>1</v>
      </c>
      <c r="B1993" s="1324"/>
      <c r="C1993" t="s">
        <v>445</v>
      </c>
      <c r="D1993" s="113">
        <v>0</v>
      </c>
    </row>
    <row r="1994" spans="1:4">
      <c r="A1994" s="107">
        <v>1</v>
      </c>
      <c r="B1994" s="1324"/>
      <c r="C1994" t="s">
        <v>446</v>
      </c>
      <c r="D1994" s="113">
        <v>4307.8</v>
      </c>
    </row>
    <row r="1995" spans="1:4">
      <c r="A1995" s="107">
        <v>1</v>
      </c>
      <c r="B1995" s="1324"/>
      <c r="C1995" t="s">
        <v>1253</v>
      </c>
      <c r="D1995" s="113">
        <v>0</v>
      </c>
    </row>
    <row r="1996" spans="1:4">
      <c r="A1996" s="107">
        <v>1</v>
      </c>
      <c r="B1996" s="1325"/>
      <c r="C1996" t="s">
        <v>421</v>
      </c>
      <c r="D1996" s="113">
        <v>0</v>
      </c>
    </row>
    <row r="1997" spans="1:4">
      <c r="A1997" s="107">
        <v>9</v>
      </c>
      <c r="B1997" s="1323" t="s">
        <v>1075</v>
      </c>
      <c r="C1997" t="s">
        <v>444</v>
      </c>
      <c r="D1997" s="113">
        <v>10786.3</v>
      </c>
    </row>
    <row r="1998" spans="1:4">
      <c r="A1998" s="107">
        <v>9</v>
      </c>
      <c r="B1998" s="1324"/>
      <c r="C1998" t="s">
        <v>445</v>
      </c>
      <c r="D1998" s="113">
        <v>156796.5</v>
      </c>
    </row>
    <row r="1999" spans="1:4">
      <c r="A1999" s="107">
        <v>9</v>
      </c>
      <c r="B1999" s="1324"/>
      <c r="C1999" t="s">
        <v>446</v>
      </c>
      <c r="D1999" s="113">
        <v>30308.1</v>
      </c>
    </row>
    <row r="2000" spans="1:4">
      <c r="A2000" s="107">
        <v>9</v>
      </c>
      <c r="B2000" s="1324"/>
      <c r="C2000" t="s">
        <v>1253</v>
      </c>
      <c r="D2000" s="113">
        <v>0</v>
      </c>
    </row>
    <row r="2001" spans="1:4">
      <c r="A2001" s="107">
        <v>9</v>
      </c>
      <c r="B2001" s="1324"/>
      <c r="C2001" t="s">
        <v>421</v>
      </c>
      <c r="D2001" s="113">
        <v>0</v>
      </c>
    </row>
    <row r="2002" spans="1:4">
      <c r="A2002" s="107">
        <v>2</v>
      </c>
      <c r="B2002" s="1323" t="s">
        <v>1076</v>
      </c>
      <c r="C2002" t="s">
        <v>444</v>
      </c>
      <c r="D2002" s="113">
        <v>0</v>
      </c>
    </row>
    <row r="2003" spans="1:4">
      <c r="A2003" s="107">
        <v>2</v>
      </c>
      <c r="B2003" s="1324"/>
      <c r="C2003" t="s">
        <v>445</v>
      </c>
      <c r="D2003" s="113">
        <v>0</v>
      </c>
    </row>
    <row r="2004" spans="1:4">
      <c r="A2004" s="107">
        <v>2</v>
      </c>
      <c r="B2004" s="1324"/>
      <c r="C2004" t="s">
        <v>446</v>
      </c>
      <c r="D2004" s="113">
        <v>5209.7</v>
      </c>
    </row>
    <row r="2005" spans="1:4">
      <c r="A2005" s="107">
        <v>2</v>
      </c>
      <c r="B2005" s="1324"/>
      <c r="C2005" t="s">
        <v>1253</v>
      </c>
      <c r="D2005" s="113">
        <v>0</v>
      </c>
    </row>
    <row r="2006" spans="1:4">
      <c r="A2006" s="107">
        <v>2</v>
      </c>
      <c r="B2006" s="1325"/>
      <c r="C2006" t="s">
        <v>421</v>
      </c>
      <c r="D2006" s="113">
        <v>0</v>
      </c>
    </row>
    <row r="2007" spans="1:4" ht="12.75" customHeight="1">
      <c r="A2007" s="107">
        <v>6</v>
      </c>
      <c r="B2007" s="1323" t="s">
        <v>1077</v>
      </c>
      <c r="C2007" t="s">
        <v>444</v>
      </c>
      <c r="D2007" s="113">
        <v>442.5</v>
      </c>
    </row>
    <row r="2008" spans="1:4">
      <c r="A2008" s="107">
        <v>6</v>
      </c>
      <c r="B2008" s="1324"/>
      <c r="C2008" t="s">
        <v>445</v>
      </c>
      <c r="D2008" s="113">
        <v>0</v>
      </c>
    </row>
    <row r="2009" spans="1:4">
      <c r="A2009" s="107">
        <v>6</v>
      </c>
      <c r="B2009" s="1324"/>
      <c r="C2009" t="s">
        <v>446</v>
      </c>
      <c r="D2009" s="113">
        <v>5470.1</v>
      </c>
    </row>
    <row r="2010" spans="1:4">
      <c r="A2010" s="107">
        <v>6</v>
      </c>
      <c r="B2010" s="1324"/>
      <c r="C2010" t="s">
        <v>1253</v>
      </c>
      <c r="D2010" s="113">
        <v>0</v>
      </c>
    </row>
    <row r="2011" spans="1:4">
      <c r="A2011" s="107">
        <v>6</v>
      </c>
      <c r="B2011" s="1325"/>
      <c r="C2011" t="s">
        <v>421</v>
      </c>
      <c r="D2011" s="113">
        <v>0</v>
      </c>
    </row>
    <row r="2012" spans="1:4" ht="12.75" customHeight="1">
      <c r="A2012" s="107">
        <v>9</v>
      </c>
      <c r="B2012" s="1323" t="s">
        <v>1078</v>
      </c>
      <c r="C2012" t="s">
        <v>444</v>
      </c>
      <c r="D2012" s="113">
        <v>0</v>
      </c>
    </row>
    <row r="2013" spans="1:4">
      <c r="A2013" s="107">
        <v>9</v>
      </c>
      <c r="B2013" s="1324"/>
      <c r="C2013" t="s">
        <v>445</v>
      </c>
      <c r="D2013" s="113">
        <v>0</v>
      </c>
    </row>
    <row r="2014" spans="1:4">
      <c r="A2014" s="107">
        <v>9</v>
      </c>
      <c r="B2014" s="1324"/>
      <c r="C2014" t="s">
        <v>446</v>
      </c>
      <c r="D2014" s="113">
        <v>25701</v>
      </c>
    </row>
    <row r="2015" spans="1:4">
      <c r="A2015" s="107">
        <v>9</v>
      </c>
      <c r="B2015" s="1324"/>
      <c r="C2015" t="s">
        <v>1253</v>
      </c>
      <c r="D2015" s="113">
        <v>0</v>
      </c>
    </row>
    <row r="2016" spans="1:4">
      <c r="A2016" s="107">
        <v>9</v>
      </c>
      <c r="B2016" s="1325"/>
      <c r="C2016" t="s">
        <v>421</v>
      </c>
      <c r="D2016" s="113">
        <v>0</v>
      </c>
    </row>
    <row r="2017" spans="1:4" ht="12.75" customHeight="1">
      <c r="A2017" s="107">
        <v>1</v>
      </c>
      <c r="B2017" s="1323" t="s">
        <v>1079</v>
      </c>
      <c r="C2017" t="s">
        <v>444</v>
      </c>
      <c r="D2017" s="113">
        <v>0</v>
      </c>
    </row>
    <row r="2018" spans="1:4">
      <c r="A2018" s="107">
        <v>1</v>
      </c>
      <c r="B2018" s="1324"/>
      <c r="C2018" t="s">
        <v>445</v>
      </c>
      <c r="D2018" s="113">
        <v>0</v>
      </c>
    </row>
    <row r="2019" spans="1:4">
      <c r="A2019" s="107">
        <v>1</v>
      </c>
      <c r="B2019" s="1324"/>
      <c r="C2019" t="s">
        <v>446</v>
      </c>
      <c r="D2019" s="113">
        <v>278896</v>
      </c>
    </row>
    <row r="2020" spans="1:4">
      <c r="A2020" s="107">
        <v>1</v>
      </c>
      <c r="B2020" s="1324"/>
      <c r="C2020" t="s">
        <v>1253</v>
      </c>
      <c r="D2020" s="113">
        <v>0</v>
      </c>
    </row>
    <row r="2021" spans="1:4">
      <c r="A2021" s="107">
        <v>1</v>
      </c>
      <c r="B2021" s="1325"/>
      <c r="C2021" t="s">
        <v>421</v>
      </c>
      <c r="D2021" s="113">
        <v>0</v>
      </c>
    </row>
    <row r="2022" spans="1:4">
      <c r="A2022" s="107">
        <v>1</v>
      </c>
      <c r="B2022" s="1323" t="s">
        <v>1553</v>
      </c>
      <c r="C2022" t="s">
        <v>444</v>
      </c>
      <c r="D2022" s="113">
        <v>0</v>
      </c>
    </row>
    <row r="2023" spans="1:4">
      <c r="A2023" s="107">
        <v>1</v>
      </c>
      <c r="B2023" s="1324"/>
      <c r="C2023" t="s">
        <v>445</v>
      </c>
      <c r="D2023" s="113">
        <v>0</v>
      </c>
    </row>
    <row r="2024" spans="1:4">
      <c r="A2024" s="107">
        <v>1</v>
      </c>
      <c r="B2024" s="1324"/>
      <c r="C2024" t="s">
        <v>446</v>
      </c>
      <c r="D2024" s="113">
        <v>3176</v>
      </c>
    </row>
    <row r="2025" spans="1:4">
      <c r="A2025" s="107">
        <v>1</v>
      </c>
      <c r="B2025" s="1324"/>
      <c r="C2025" t="s">
        <v>1253</v>
      </c>
      <c r="D2025" s="113">
        <v>0</v>
      </c>
    </row>
    <row r="2026" spans="1:4">
      <c r="A2026" s="107">
        <v>1</v>
      </c>
      <c r="B2026" s="1325"/>
      <c r="C2026" t="s">
        <v>421</v>
      </c>
      <c r="D2026" s="113">
        <v>0</v>
      </c>
    </row>
    <row r="2027" spans="1:4">
      <c r="A2027" s="107">
        <v>1</v>
      </c>
      <c r="B2027" s="1323" t="s">
        <v>1554</v>
      </c>
      <c r="C2027" t="s">
        <v>444</v>
      </c>
      <c r="D2027" s="113">
        <v>0</v>
      </c>
    </row>
    <row r="2028" spans="1:4">
      <c r="A2028" s="107">
        <v>1</v>
      </c>
      <c r="B2028" s="1324"/>
      <c r="C2028" t="s">
        <v>445</v>
      </c>
      <c r="D2028" s="113">
        <v>0</v>
      </c>
    </row>
    <row r="2029" spans="1:4">
      <c r="A2029" s="107">
        <v>1</v>
      </c>
      <c r="B2029" s="1324"/>
      <c r="C2029" t="s">
        <v>446</v>
      </c>
      <c r="D2029" s="113">
        <v>2954.9</v>
      </c>
    </row>
    <row r="2030" spans="1:4">
      <c r="A2030" s="107">
        <v>1</v>
      </c>
      <c r="B2030" s="1324"/>
      <c r="C2030" t="s">
        <v>1253</v>
      </c>
      <c r="D2030" s="113">
        <v>0</v>
      </c>
    </row>
    <row r="2031" spans="1:4">
      <c r="A2031" s="107">
        <v>1</v>
      </c>
      <c r="B2031" s="1324"/>
      <c r="C2031" t="s">
        <v>421</v>
      </c>
      <c r="D2031" s="113">
        <v>0</v>
      </c>
    </row>
    <row r="2032" spans="1:4">
      <c r="A2032" s="107">
        <v>2</v>
      </c>
      <c r="B2032" s="1323" t="s">
        <v>1080</v>
      </c>
      <c r="C2032" t="s">
        <v>444</v>
      </c>
      <c r="D2032" s="113">
        <v>0</v>
      </c>
    </row>
    <row r="2033" spans="1:4">
      <c r="A2033" s="107">
        <v>2</v>
      </c>
      <c r="B2033" s="1324"/>
      <c r="C2033" t="s">
        <v>445</v>
      </c>
      <c r="D2033" s="113">
        <v>0</v>
      </c>
    </row>
    <row r="2034" spans="1:4">
      <c r="A2034" s="107">
        <v>2</v>
      </c>
      <c r="B2034" s="1324"/>
      <c r="C2034" t="s">
        <v>446</v>
      </c>
      <c r="D2034" s="113">
        <v>77415.199999999997</v>
      </c>
    </row>
    <row r="2035" spans="1:4">
      <c r="A2035" s="107">
        <v>2</v>
      </c>
      <c r="B2035" s="1324"/>
      <c r="C2035" t="s">
        <v>1253</v>
      </c>
      <c r="D2035" s="113">
        <v>0</v>
      </c>
    </row>
    <row r="2036" spans="1:4">
      <c r="A2036" s="107">
        <v>2</v>
      </c>
      <c r="B2036" s="1324"/>
      <c r="C2036" t="s">
        <v>421</v>
      </c>
      <c r="D2036" s="113">
        <v>0</v>
      </c>
    </row>
    <row r="2037" spans="1:4">
      <c r="A2037" s="107">
        <v>2</v>
      </c>
      <c r="B2037" s="1323" t="s">
        <v>1081</v>
      </c>
      <c r="C2037" t="s">
        <v>444</v>
      </c>
      <c r="D2037" s="113">
        <v>0</v>
      </c>
    </row>
    <row r="2038" spans="1:4">
      <c r="A2038" s="107">
        <v>2</v>
      </c>
      <c r="B2038" s="1324"/>
      <c r="C2038" t="s">
        <v>445</v>
      </c>
      <c r="D2038" s="113">
        <v>0</v>
      </c>
    </row>
    <row r="2039" spans="1:4">
      <c r="A2039" s="107">
        <v>2</v>
      </c>
      <c r="B2039" s="1324"/>
      <c r="C2039" t="s">
        <v>446</v>
      </c>
      <c r="D2039" s="113">
        <v>66219.7</v>
      </c>
    </row>
    <row r="2040" spans="1:4">
      <c r="A2040" s="107">
        <v>2</v>
      </c>
      <c r="B2040" s="1324"/>
      <c r="C2040" t="s">
        <v>1253</v>
      </c>
      <c r="D2040" s="113">
        <v>0</v>
      </c>
    </row>
    <row r="2041" spans="1:4">
      <c r="A2041" s="107">
        <v>2</v>
      </c>
      <c r="B2041" s="1324"/>
      <c r="C2041" t="s">
        <v>421</v>
      </c>
      <c r="D2041" s="113">
        <v>0</v>
      </c>
    </row>
    <row r="2042" spans="1:4">
      <c r="A2042" s="107">
        <v>2</v>
      </c>
      <c r="B2042" s="1323" t="s">
        <v>1082</v>
      </c>
      <c r="C2042" t="s">
        <v>444</v>
      </c>
      <c r="D2042" s="113">
        <v>0</v>
      </c>
    </row>
    <row r="2043" spans="1:4">
      <c r="A2043" s="107">
        <v>2</v>
      </c>
      <c r="B2043" s="1324"/>
      <c r="C2043" t="s">
        <v>445</v>
      </c>
      <c r="D2043" s="113">
        <v>0</v>
      </c>
    </row>
    <row r="2044" spans="1:4">
      <c r="A2044" s="107">
        <v>2</v>
      </c>
      <c r="B2044" s="1324"/>
      <c r="C2044" t="s">
        <v>446</v>
      </c>
      <c r="D2044" s="113">
        <v>86074</v>
      </c>
    </row>
    <row r="2045" spans="1:4">
      <c r="A2045" s="107">
        <v>2</v>
      </c>
      <c r="B2045" s="1324"/>
      <c r="C2045" t="s">
        <v>1253</v>
      </c>
      <c r="D2045" s="113">
        <v>0</v>
      </c>
    </row>
    <row r="2046" spans="1:4">
      <c r="A2046" s="107">
        <v>2</v>
      </c>
      <c r="B2046" s="1324"/>
      <c r="C2046" t="s">
        <v>421</v>
      </c>
      <c r="D2046" s="113">
        <v>0</v>
      </c>
    </row>
    <row r="2047" spans="1:4">
      <c r="A2047" s="107">
        <v>2</v>
      </c>
      <c r="B2047" s="1323" t="s">
        <v>1083</v>
      </c>
      <c r="C2047" t="s">
        <v>444</v>
      </c>
      <c r="D2047" s="113">
        <v>0</v>
      </c>
    </row>
    <row r="2048" spans="1:4">
      <c r="A2048" s="107">
        <v>2</v>
      </c>
      <c r="B2048" s="1324"/>
      <c r="C2048" t="s">
        <v>445</v>
      </c>
      <c r="D2048" s="113">
        <v>0</v>
      </c>
    </row>
    <row r="2049" spans="1:4">
      <c r="A2049" s="107">
        <v>2</v>
      </c>
      <c r="B2049" s="1324"/>
      <c r="C2049" t="s">
        <v>446</v>
      </c>
      <c r="D2049" s="113">
        <v>85047.6</v>
      </c>
    </row>
    <row r="2050" spans="1:4">
      <c r="A2050" s="107">
        <v>2</v>
      </c>
      <c r="B2050" s="1324"/>
      <c r="C2050" t="s">
        <v>1253</v>
      </c>
      <c r="D2050" s="113">
        <v>0</v>
      </c>
    </row>
    <row r="2051" spans="1:4">
      <c r="A2051" s="107">
        <v>2</v>
      </c>
      <c r="B2051" s="1324"/>
      <c r="C2051" t="s">
        <v>421</v>
      </c>
      <c r="D2051" s="113">
        <v>0</v>
      </c>
    </row>
    <row r="2052" spans="1:4">
      <c r="A2052" s="107">
        <v>2</v>
      </c>
      <c r="B2052" s="1323" t="s">
        <v>1084</v>
      </c>
      <c r="C2052" t="s">
        <v>444</v>
      </c>
      <c r="D2052" s="113">
        <v>0</v>
      </c>
    </row>
    <row r="2053" spans="1:4">
      <c r="A2053" s="107">
        <v>2</v>
      </c>
      <c r="B2053" s="1324"/>
      <c r="C2053" t="s">
        <v>445</v>
      </c>
      <c r="D2053" s="113">
        <v>0</v>
      </c>
    </row>
    <row r="2054" spans="1:4">
      <c r="A2054" s="107">
        <v>2</v>
      </c>
      <c r="B2054" s="1324"/>
      <c r="C2054" t="s">
        <v>446</v>
      </c>
      <c r="D2054" s="113">
        <v>24662.400000000001</v>
      </c>
    </row>
    <row r="2055" spans="1:4">
      <c r="A2055" s="107">
        <v>2</v>
      </c>
      <c r="B2055" s="1324"/>
      <c r="C2055" t="s">
        <v>1253</v>
      </c>
      <c r="D2055" s="113">
        <v>0</v>
      </c>
    </row>
    <row r="2056" spans="1:4">
      <c r="A2056" s="107">
        <v>2</v>
      </c>
      <c r="B2056" s="1324"/>
      <c r="C2056" t="s">
        <v>421</v>
      </c>
      <c r="D2056" s="113">
        <v>0</v>
      </c>
    </row>
    <row r="2057" spans="1:4">
      <c r="A2057" s="107">
        <v>2</v>
      </c>
      <c r="B2057" s="1323" t="s">
        <v>1085</v>
      </c>
      <c r="C2057" t="s">
        <v>444</v>
      </c>
      <c r="D2057" s="113">
        <v>0</v>
      </c>
    </row>
    <row r="2058" spans="1:4">
      <c r="A2058" s="107">
        <v>2</v>
      </c>
      <c r="B2058" s="1324"/>
      <c r="C2058" t="s">
        <v>445</v>
      </c>
      <c r="D2058" s="113">
        <v>0</v>
      </c>
    </row>
    <row r="2059" spans="1:4">
      <c r="A2059" s="107">
        <v>2</v>
      </c>
      <c r="B2059" s="1324"/>
      <c r="C2059" t="s">
        <v>446</v>
      </c>
      <c r="D2059" s="113">
        <v>77831.100000000006</v>
      </c>
    </row>
    <row r="2060" spans="1:4">
      <c r="A2060" s="107">
        <v>2</v>
      </c>
      <c r="B2060" s="1324"/>
      <c r="C2060" t="s">
        <v>1253</v>
      </c>
      <c r="D2060" s="113">
        <v>0</v>
      </c>
    </row>
    <row r="2061" spans="1:4">
      <c r="A2061" s="107">
        <v>2</v>
      </c>
      <c r="B2061" s="1324"/>
      <c r="C2061" t="s">
        <v>421</v>
      </c>
      <c r="D2061" s="113">
        <v>0</v>
      </c>
    </row>
    <row r="2062" spans="1:4">
      <c r="A2062" s="107">
        <v>1</v>
      </c>
      <c r="B2062" s="1323" t="s">
        <v>1086</v>
      </c>
      <c r="C2062" t="s">
        <v>444</v>
      </c>
      <c r="D2062" s="113">
        <v>153399.20000000001</v>
      </c>
    </row>
    <row r="2063" spans="1:4">
      <c r="A2063" s="107">
        <v>1</v>
      </c>
      <c r="B2063" s="1324"/>
      <c r="C2063" t="s">
        <v>445</v>
      </c>
      <c r="D2063" s="113">
        <v>0</v>
      </c>
    </row>
    <row r="2064" spans="1:4">
      <c r="A2064" s="107">
        <v>1</v>
      </c>
      <c r="B2064" s="1324"/>
      <c r="C2064" t="s">
        <v>446</v>
      </c>
      <c r="D2064" s="113">
        <v>4019.7</v>
      </c>
    </row>
    <row r="2065" spans="1:4">
      <c r="A2065" s="107">
        <v>1</v>
      </c>
      <c r="B2065" s="1324"/>
      <c r="C2065" t="s">
        <v>1253</v>
      </c>
      <c r="D2065" s="113">
        <v>0</v>
      </c>
    </row>
    <row r="2066" spans="1:4">
      <c r="A2066" s="107">
        <v>1</v>
      </c>
      <c r="B2066" s="1324"/>
      <c r="C2066" t="s">
        <v>421</v>
      </c>
      <c r="D2066" s="113">
        <v>0</v>
      </c>
    </row>
    <row r="2067" spans="1:4">
      <c r="A2067" s="107">
        <v>1</v>
      </c>
      <c r="B2067" s="1323" t="s">
        <v>1087</v>
      </c>
      <c r="C2067" t="s">
        <v>444</v>
      </c>
      <c r="D2067" s="113">
        <v>71534.100000000006</v>
      </c>
    </row>
    <row r="2068" spans="1:4">
      <c r="A2068" s="107">
        <v>1</v>
      </c>
      <c r="B2068" s="1324"/>
      <c r="C2068" t="s">
        <v>445</v>
      </c>
      <c r="D2068" s="113">
        <v>0</v>
      </c>
    </row>
    <row r="2069" spans="1:4">
      <c r="A2069" s="107">
        <v>1</v>
      </c>
      <c r="B2069" s="1324"/>
      <c r="C2069" t="s">
        <v>446</v>
      </c>
      <c r="D2069" s="113">
        <v>21135.200000000001</v>
      </c>
    </row>
    <row r="2070" spans="1:4">
      <c r="A2070" s="107">
        <v>1</v>
      </c>
      <c r="B2070" s="1324"/>
      <c r="C2070" t="s">
        <v>1253</v>
      </c>
      <c r="D2070" s="113">
        <v>0</v>
      </c>
    </row>
    <row r="2071" spans="1:4">
      <c r="A2071" s="107">
        <v>1</v>
      </c>
      <c r="B2071" s="1324"/>
      <c r="C2071" t="s">
        <v>421</v>
      </c>
      <c r="D2071" s="113">
        <v>0</v>
      </c>
    </row>
    <row r="2072" spans="1:4">
      <c r="A2072" s="107">
        <v>1</v>
      </c>
      <c r="B2072" s="1323" t="s">
        <v>1088</v>
      </c>
      <c r="C2072" t="s">
        <v>444</v>
      </c>
      <c r="D2072" s="113">
        <v>1439987.7</v>
      </c>
    </row>
    <row r="2073" spans="1:4">
      <c r="A2073" s="107">
        <v>1</v>
      </c>
      <c r="B2073" s="1324"/>
      <c r="C2073" t="s">
        <v>445</v>
      </c>
      <c r="D2073" s="113">
        <v>424577.7</v>
      </c>
    </row>
    <row r="2074" spans="1:4">
      <c r="A2074" s="107">
        <v>1</v>
      </c>
      <c r="B2074" s="1324"/>
      <c r="C2074" t="s">
        <v>446</v>
      </c>
      <c r="D2074" s="113">
        <v>169638.5</v>
      </c>
    </row>
    <row r="2075" spans="1:4">
      <c r="A2075" s="107">
        <v>1</v>
      </c>
      <c r="B2075" s="1324"/>
      <c r="C2075" t="s">
        <v>1253</v>
      </c>
      <c r="D2075" s="113">
        <v>0</v>
      </c>
    </row>
    <row r="2076" spans="1:4">
      <c r="A2076" s="107">
        <v>1</v>
      </c>
      <c r="B2076" s="1324"/>
      <c r="C2076" t="s">
        <v>421</v>
      </c>
      <c r="D2076" s="113">
        <v>6029</v>
      </c>
    </row>
    <row r="2077" spans="1:4">
      <c r="A2077" s="107">
        <v>2</v>
      </c>
      <c r="B2077" s="1323" t="s">
        <v>1089</v>
      </c>
      <c r="C2077" t="s">
        <v>444</v>
      </c>
      <c r="D2077" s="113">
        <v>0</v>
      </c>
    </row>
    <row r="2078" spans="1:4">
      <c r="A2078" s="107">
        <v>2</v>
      </c>
      <c r="B2078" s="1324"/>
      <c r="C2078" t="s">
        <v>445</v>
      </c>
      <c r="D2078" s="113">
        <v>0</v>
      </c>
    </row>
    <row r="2079" spans="1:4">
      <c r="A2079" s="107">
        <v>2</v>
      </c>
      <c r="B2079" s="1324"/>
      <c r="C2079" t="s">
        <v>446</v>
      </c>
      <c r="D2079" s="113">
        <v>67007.600000000006</v>
      </c>
    </row>
    <row r="2080" spans="1:4">
      <c r="A2080" s="107">
        <v>2</v>
      </c>
      <c r="B2080" s="1324"/>
      <c r="C2080" t="s">
        <v>1253</v>
      </c>
      <c r="D2080" s="113">
        <v>0</v>
      </c>
    </row>
    <row r="2081" spans="1:4">
      <c r="A2081" s="107">
        <v>2</v>
      </c>
      <c r="B2081" s="1324"/>
      <c r="C2081" t="s">
        <v>421</v>
      </c>
      <c r="D2081" s="113">
        <v>0</v>
      </c>
    </row>
    <row r="2082" spans="1:4">
      <c r="A2082" s="107">
        <v>1</v>
      </c>
      <c r="B2082" s="1323" t="s">
        <v>1090</v>
      </c>
      <c r="C2082" t="s">
        <v>444</v>
      </c>
      <c r="D2082" s="113">
        <v>820162.3</v>
      </c>
    </row>
    <row r="2083" spans="1:4">
      <c r="A2083" s="107">
        <v>1</v>
      </c>
      <c r="B2083" s="1324"/>
      <c r="C2083" t="s">
        <v>445</v>
      </c>
      <c r="D2083" s="113">
        <v>227180.7</v>
      </c>
    </row>
    <row r="2084" spans="1:4">
      <c r="A2084" s="107">
        <v>1</v>
      </c>
      <c r="B2084" s="1324"/>
      <c r="C2084" t="s">
        <v>446</v>
      </c>
      <c r="D2084" s="113">
        <v>18689.099999999999</v>
      </c>
    </row>
    <row r="2085" spans="1:4">
      <c r="A2085" s="107">
        <v>1</v>
      </c>
      <c r="B2085" s="1324"/>
      <c r="C2085" t="s">
        <v>1253</v>
      </c>
      <c r="D2085" s="113">
        <v>0</v>
      </c>
    </row>
    <row r="2086" spans="1:4">
      <c r="A2086" s="107">
        <v>1</v>
      </c>
      <c r="B2086" s="1324"/>
      <c r="C2086" t="s">
        <v>421</v>
      </c>
      <c r="D2086" s="113">
        <v>40504.300000000003</v>
      </c>
    </row>
    <row r="2087" spans="1:4">
      <c r="A2087" s="107">
        <v>1</v>
      </c>
      <c r="B2087" s="1323" t="s">
        <v>1091</v>
      </c>
      <c r="C2087" t="s">
        <v>444</v>
      </c>
      <c r="D2087" s="113">
        <v>29213.5</v>
      </c>
    </row>
    <row r="2088" spans="1:4">
      <c r="A2088" s="107">
        <v>1</v>
      </c>
      <c r="B2088" s="1324"/>
      <c r="C2088" t="s">
        <v>445</v>
      </c>
      <c r="D2088" s="113">
        <v>0</v>
      </c>
    </row>
    <row r="2089" spans="1:4">
      <c r="A2089" s="107">
        <v>1</v>
      </c>
      <c r="B2089" s="1324"/>
      <c r="C2089" t="s">
        <v>446</v>
      </c>
      <c r="D2089" s="113">
        <v>29221</v>
      </c>
    </row>
    <row r="2090" spans="1:4">
      <c r="A2090" s="107">
        <v>1</v>
      </c>
      <c r="B2090" s="1324"/>
      <c r="C2090" t="s">
        <v>1253</v>
      </c>
      <c r="D2090" s="113">
        <v>0</v>
      </c>
    </row>
    <row r="2091" spans="1:4">
      <c r="A2091" s="107">
        <v>1</v>
      </c>
      <c r="B2091" s="1324"/>
      <c r="C2091" t="s">
        <v>421</v>
      </c>
      <c r="D2091" s="113">
        <v>0</v>
      </c>
    </row>
    <row r="2092" spans="1:4">
      <c r="A2092" s="107">
        <v>1</v>
      </c>
      <c r="B2092" s="1323" t="s">
        <v>1092</v>
      </c>
      <c r="C2092" t="s">
        <v>444</v>
      </c>
      <c r="D2092" s="113">
        <v>687846</v>
      </c>
    </row>
    <row r="2093" spans="1:4">
      <c r="A2093" s="107">
        <v>1</v>
      </c>
      <c r="B2093" s="1324"/>
      <c r="C2093" t="s">
        <v>445</v>
      </c>
      <c r="D2093" s="113">
        <v>0</v>
      </c>
    </row>
    <row r="2094" spans="1:4">
      <c r="A2094" s="107">
        <v>1</v>
      </c>
      <c r="B2094" s="1324"/>
      <c r="C2094" t="s">
        <v>446</v>
      </c>
      <c r="D2094" s="113">
        <v>15367.6</v>
      </c>
    </row>
    <row r="2095" spans="1:4">
      <c r="A2095" s="107">
        <v>1</v>
      </c>
      <c r="B2095" s="1324"/>
      <c r="C2095" t="s">
        <v>1253</v>
      </c>
      <c r="D2095" s="113">
        <v>0</v>
      </c>
    </row>
    <row r="2096" spans="1:4">
      <c r="A2096" s="107">
        <v>1</v>
      </c>
      <c r="B2096" s="1324"/>
      <c r="C2096" t="s">
        <v>421</v>
      </c>
      <c r="D2096" s="113">
        <v>32278.1</v>
      </c>
    </row>
    <row r="2097" spans="1:4">
      <c r="A2097" s="107">
        <v>1</v>
      </c>
      <c r="B2097" s="1323" t="s">
        <v>1093</v>
      </c>
      <c r="C2097" t="s">
        <v>444</v>
      </c>
      <c r="D2097" s="113">
        <v>147236.9</v>
      </c>
    </row>
    <row r="2098" spans="1:4">
      <c r="A2098" s="107">
        <v>1</v>
      </c>
      <c r="B2098" s="1324"/>
      <c r="C2098" t="s">
        <v>445</v>
      </c>
      <c r="D2098" s="113">
        <v>0</v>
      </c>
    </row>
    <row r="2099" spans="1:4">
      <c r="A2099" s="107">
        <v>1</v>
      </c>
      <c r="B2099" s="1324"/>
      <c r="C2099" t="s">
        <v>446</v>
      </c>
      <c r="D2099" s="113">
        <v>31964.3</v>
      </c>
    </row>
    <row r="2100" spans="1:4">
      <c r="A2100" s="107">
        <v>1</v>
      </c>
      <c r="B2100" s="1324"/>
      <c r="C2100" t="s">
        <v>1253</v>
      </c>
      <c r="D2100" s="113">
        <v>0</v>
      </c>
    </row>
    <row r="2101" spans="1:4">
      <c r="A2101" s="107">
        <v>1</v>
      </c>
      <c r="B2101" s="1324"/>
      <c r="C2101" t="s">
        <v>421</v>
      </c>
      <c r="D2101" s="113">
        <v>0</v>
      </c>
    </row>
    <row r="2102" spans="1:4">
      <c r="A2102" s="107">
        <v>1</v>
      </c>
      <c r="B2102" s="1323" t="s">
        <v>1094</v>
      </c>
      <c r="C2102" t="s">
        <v>444</v>
      </c>
      <c r="D2102" s="113">
        <v>212419.8</v>
      </c>
    </row>
    <row r="2103" spans="1:4">
      <c r="A2103" s="107">
        <v>1</v>
      </c>
      <c r="B2103" s="1324"/>
      <c r="C2103" t="s">
        <v>445</v>
      </c>
      <c r="D2103" s="113">
        <v>0</v>
      </c>
    </row>
    <row r="2104" spans="1:4">
      <c r="A2104" s="107">
        <v>1</v>
      </c>
      <c r="B2104" s="1324"/>
      <c r="C2104" t="s">
        <v>446</v>
      </c>
      <c r="D2104" s="113">
        <v>48676.5</v>
      </c>
    </row>
    <row r="2105" spans="1:4">
      <c r="A2105" s="107">
        <v>1</v>
      </c>
      <c r="B2105" s="1324"/>
      <c r="C2105" t="s">
        <v>1253</v>
      </c>
      <c r="D2105" s="113">
        <v>0</v>
      </c>
    </row>
    <row r="2106" spans="1:4">
      <c r="A2106" s="107">
        <v>1</v>
      </c>
      <c r="B2106" s="1324"/>
      <c r="C2106" t="s">
        <v>421</v>
      </c>
      <c r="D2106" s="113">
        <v>5533.6</v>
      </c>
    </row>
    <row r="2107" spans="1:4">
      <c r="A2107" s="107">
        <v>1</v>
      </c>
      <c r="B2107" s="1323" t="s">
        <v>1095</v>
      </c>
      <c r="C2107" t="s">
        <v>444</v>
      </c>
      <c r="D2107" s="113">
        <v>250704.2</v>
      </c>
    </row>
    <row r="2108" spans="1:4">
      <c r="A2108" s="107">
        <v>1</v>
      </c>
      <c r="B2108" s="1324"/>
      <c r="C2108" t="s">
        <v>445</v>
      </c>
      <c r="D2108" s="113">
        <v>0</v>
      </c>
    </row>
    <row r="2109" spans="1:4">
      <c r="A2109" s="107">
        <v>1</v>
      </c>
      <c r="B2109" s="1324"/>
      <c r="C2109" t="s">
        <v>446</v>
      </c>
      <c r="D2109" s="113">
        <v>13352</v>
      </c>
    </row>
    <row r="2110" spans="1:4">
      <c r="A2110" s="107">
        <v>1</v>
      </c>
      <c r="B2110" s="1324"/>
      <c r="C2110" t="s">
        <v>1253</v>
      </c>
      <c r="D2110" s="113">
        <v>0</v>
      </c>
    </row>
    <row r="2111" spans="1:4">
      <c r="A2111" s="107">
        <v>1</v>
      </c>
      <c r="B2111" s="1324"/>
      <c r="C2111" t="s">
        <v>421</v>
      </c>
      <c r="D2111" s="113">
        <v>0</v>
      </c>
    </row>
    <row r="2112" spans="1:4">
      <c r="A2112" s="107">
        <v>4</v>
      </c>
      <c r="B2112" s="1323" t="s">
        <v>1096</v>
      </c>
      <c r="C2112" t="s">
        <v>444</v>
      </c>
      <c r="D2112" s="113">
        <v>769348.5</v>
      </c>
    </row>
    <row r="2113" spans="1:4">
      <c r="A2113" s="107">
        <v>4</v>
      </c>
      <c r="B2113" s="1324"/>
      <c r="C2113" t="s">
        <v>445</v>
      </c>
      <c r="D2113" s="113">
        <v>0</v>
      </c>
    </row>
    <row r="2114" spans="1:4">
      <c r="A2114" s="107">
        <v>4</v>
      </c>
      <c r="B2114" s="1324"/>
      <c r="C2114" t="s">
        <v>446</v>
      </c>
      <c r="D2114" s="113">
        <v>113776.3</v>
      </c>
    </row>
    <row r="2115" spans="1:4">
      <c r="A2115" s="107">
        <v>4</v>
      </c>
      <c r="B2115" s="1324"/>
      <c r="C2115" t="s">
        <v>1253</v>
      </c>
      <c r="D2115" s="113">
        <v>0</v>
      </c>
    </row>
    <row r="2116" spans="1:4">
      <c r="A2116" s="107">
        <v>4</v>
      </c>
      <c r="B2116" s="1324"/>
      <c r="C2116" t="s">
        <v>421</v>
      </c>
      <c r="D2116" s="113">
        <v>0</v>
      </c>
    </row>
    <row r="2117" spans="1:4">
      <c r="A2117" s="107">
        <v>9</v>
      </c>
      <c r="B2117" s="1323" t="s">
        <v>1097</v>
      </c>
      <c r="C2117" t="s">
        <v>444</v>
      </c>
      <c r="D2117" s="113">
        <v>135784.5</v>
      </c>
    </row>
    <row r="2118" spans="1:4">
      <c r="A2118" s="107">
        <v>9</v>
      </c>
      <c r="B2118" s="1324"/>
      <c r="C2118" t="s">
        <v>445</v>
      </c>
      <c r="D2118" s="113">
        <v>12633</v>
      </c>
    </row>
    <row r="2119" spans="1:4">
      <c r="A2119" s="107">
        <v>9</v>
      </c>
      <c r="B2119" s="1324"/>
      <c r="C2119" t="s">
        <v>446</v>
      </c>
      <c r="D2119" s="113">
        <v>19073</v>
      </c>
    </row>
    <row r="2120" spans="1:4">
      <c r="A2120" s="107">
        <v>9</v>
      </c>
      <c r="B2120" s="1324"/>
      <c r="C2120" t="s">
        <v>1253</v>
      </c>
      <c r="D2120" s="113">
        <v>0</v>
      </c>
    </row>
    <row r="2121" spans="1:4">
      <c r="A2121" s="107">
        <v>9</v>
      </c>
      <c r="B2121" s="1324"/>
      <c r="C2121" t="s">
        <v>421</v>
      </c>
      <c r="D2121" s="113">
        <v>0</v>
      </c>
    </row>
    <row r="2122" spans="1:4">
      <c r="A2122" s="107">
        <v>2</v>
      </c>
      <c r="B2122" s="1323" t="s">
        <v>1098</v>
      </c>
      <c r="C2122" t="s">
        <v>444</v>
      </c>
      <c r="D2122" s="113">
        <v>55112.6</v>
      </c>
    </row>
    <row r="2123" spans="1:4">
      <c r="A2123" s="107">
        <v>2</v>
      </c>
      <c r="B2123" s="1324"/>
      <c r="C2123" t="s">
        <v>445</v>
      </c>
      <c r="D2123" s="113">
        <v>0</v>
      </c>
    </row>
    <row r="2124" spans="1:4">
      <c r="A2124" s="107">
        <v>2</v>
      </c>
      <c r="B2124" s="1324"/>
      <c r="C2124" t="s">
        <v>446</v>
      </c>
      <c r="D2124" s="113">
        <v>20008.3</v>
      </c>
    </row>
    <row r="2125" spans="1:4">
      <c r="A2125" s="107">
        <v>2</v>
      </c>
      <c r="B2125" s="1324"/>
      <c r="C2125" t="s">
        <v>1253</v>
      </c>
      <c r="D2125" s="113">
        <v>0</v>
      </c>
    </row>
    <row r="2126" spans="1:4">
      <c r="A2126" s="107">
        <v>2</v>
      </c>
      <c r="B2126" s="1324"/>
      <c r="C2126" t="s">
        <v>421</v>
      </c>
      <c r="D2126" s="113">
        <v>0</v>
      </c>
    </row>
    <row r="2127" spans="1:4">
      <c r="A2127" s="107">
        <v>4</v>
      </c>
      <c r="B2127" s="1323" t="s">
        <v>1099</v>
      </c>
      <c r="C2127" t="s">
        <v>444</v>
      </c>
      <c r="D2127" s="113">
        <v>145951.20000000001</v>
      </c>
    </row>
    <row r="2128" spans="1:4">
      <c r="A2128" s="107">
        <v>4</v>
      </c>
      <c r="B2128" s="1324"/>
      <c r="C2128" t="s">
        <v>445</v>
      </c>
      <c r="D2128" s="113">
        <v>0</v>
      </c>
    </row>
    <row r="2129" spans="1:4">
      <c r="A2129" s="107">
        <v>4</v>
      </c>
      <c r="B2129" s="1324"/>
      <c r="C2129" t="s">
        <v>446</v>
      </c>
      <c r="D2129" s="113">
        <v>26575</v>
      </c>
    </row>
    <row r="2130" spans="1:4">
      <c r="A2130" s="107">
        <v>4</v>
      </c>
      <c r="B2130" s="1324"/>
      <c r="C2130" t="s">
        <v>1253</v>
      </c>
      <c r="D2130" s="113">
        <v>0</v>
      </c>
    </row>
    <row r="2131" spans="1:4">
      <c r="A2131" s="107">
        <v>4</v>
      </c>
      <c r="B2131" s="1324"/>
      <c r="C2131" t="s">
        <v>421</v>
      </c>
      <c r="D2131" s="113">
        <v>0</v>
      </c>
    </row>
    <row r="2132" spans="1:4">
      <c r="A2132" s="107">
        <v>1</v>
      </c>
      <c r="B2132" s="1323" t="s">
        <v>1100</v>
      </c>
      <c r="C2132" t="s">
        <v>444</v>
      </c>
      <c r="D2132" s="113">
        <v>607296.69999999995</v>
      </c>
    </row>
    <row r="2133" spans="1:4">
      <c r="A2133" s="107">
        <v>1</v>
      </c>
      <c r="B2133" s="1324"/>
      <c r="C2133" t="s">
        <v>445</v>
      </c>
      <c r="D2133" s="113">
        <v>0</v>
      </c>
    </row>
    <row r="2134" spans="1:4">
      <c r="A2134" s="107">
        <v>1</v>
      </c>
      <c r="B2134" s="1324"/>
      <c r="C2134" t="s">
        <v>446</v>
      </c>
      <c r="D2134" s="113">
        <v>5455.4</v>
      </c>
    </row>
    <row r="2135" spans="1:4">
      <c r="A2135" s="107">
        <v>1</v>
      </c>
      <c r="B2135" s="1324"/>
      <c r="C2135" t="s">
        <v>1253</v>
      </c>
      <c r="D2135" s="113">
        <v>0</v>
      </c>
    </row>
    <row r="2136" spans="1:4">
      <c r="A2136" s="107">
        <v>1</v>
      </c>
      <c r="B2136" s="1324"/>
      <c r="C2136" t="s">
        <v>421</v>
      </c>
      <c r="D2136" s="113">
        <v>16309.6</v>
      </c>
    </row>
    <row r="2137" spans="1:4">
      <c r="A2137" s="107">
        <v>4</v>
      </c>
      <c r="B2137" s="1323" t="s">
        <v>1101</v>
      </c>
      <c r="C2137" t="s">
        <v>444</v>
      </c>
      <c r="D2137" s="113">
        <v>319958.8</v>
      </c>
    </row>
    <row r="2138" spans="1:4">
      <c r="A2138" s="107">
        <v>4</v>
      </c>
      <c r="B2138" s="1324"/>
      <c r="C2138" t="s">
        <v>445</v>
      </c>
      <c r="D2138" s="113">
        <v>0</v>
      </c>
    </row>
    <row r="2139" spans="1:4">
      <c r="A2139" s="107">
        <v>4</v>
      </c>
      <c r="B2139" s="1324"/>
      <c r="C2139" t="s">
        <v>446</v>
      </c>
      <c r="D2139" s="113">
        <v>49573.1</v>
      </c>
    </row>
    <row r="2140" spans="1:4">
      <c r="A2140" s="107">
        <v>4</v>
      </c>
      <c r="B2140" s="1324"/>
      <c r="C2140" t="s">
        <v>1253</v>
      </c>
      <c r="D2140" s="113">
        <v>0</v>
      </c>
    </row>
    <row r="2141" spans="1:4">
      <c r="A2141" s="107">
        <v>4</v>
      </c>
      <c r="B2141" s="1324"/>
      <c r="C2141" t="s">
        <v>421</v>
      </c>
      <c r="D2141" s="113">
        <v>0</v>
      </c>
    </row>
    <row r="2142" spans="1:4">
      <c r="A2142" s="107">
        <v>3</v>
      </c>
      <c r="B2142" s="1323" t="s">
        <v>1102</v>
      </c>
      <c r="C2142" t="s">
        <v>444</v>
      </c>
      <c r="D2142" s="113">
        <v>52551</v>
      </c>
    </row>
    <row r="2143" spans="1:4">
      <c r="A2143" s="107">
        <v>3</v>
      </c>
      <c r="B2143" s="1324"/>
      <c r="C2143" t="s">
        <v>445</v>
      </c>
      <c r="D2143" s="113">
        <v>0</v>
      </c>
    </row>
    <row r="2144" spans="1:4">
      <c r="A2144" s="107">
        <v>3</v>
      </c>
      <c r="B2144" s="1324"/>
      <c r="C2144" t="s">
        <v>446</v>
      </c>
      <c r="D2144" s="113">
        <v>5849</v>
      </c>
    </row>
    <row r="2145" spans="1:4">
      <c r="A2145" s="107">
        <v>3</v>
      </c>
      <c r="B2145" s="1324"/>
      <c r="C2145" t="s">
        <v>1253</v>
      </c>
      <c r="D2145" s="113">
        <v>0</v>
      </c>
    </row>
    <row r="2146" spans="1:4">
      <c r="A2146" s="107">
        <v>3</v>
      </c>
      <c r="B2146" s="1324"/>
      <c r="C2146" t="s">
        <v>421</v>
      </c>
      <c r="D2146" s="113">
        <v>0</v>
      </c>
    </row>
    <row r="2147" spans="1:4">
      <c r="A2147" s="107">
        <v>2</v>
      </c>
      <c r="B2147" s="1323" t="s">
        <v>1103</v>
      </c>
      <c r="C2147" t="s">
        <v>444</v>
      </c>
      <c r="D2147" s="113">
        <v>0</v>
      </c>
    </row>
    <row r="2148" spans="1:4">
      <c r="A2148" s="107">
        <v>2</v>
      </c>
      <c r="B2148" s="1324"/>
      <c r="C2148" t="s">
        <v>445</v>
      </c>
      <c r="D2148" s="113">
        <v>0</v>
      </c>
    </row>
    <row r="2149" spans="1:4">
      <c r="A2149" s="107">
        <v>2</v>
      </c>
      <c r="B2149" s="1324"/>
      <c r="C2149" t="s">
        <v>446</v>
      </c>
      <c r="D2149" s="113">
        <v>235192</v>
      </c>
    </row>
    <row r="2150" spans="1:4">
      <c r="A2150" s="107">
        <v>2</v>
      </c>
      <c r="B2150" s="1324"/>
      <c r="C2150" t="s">
        <v>1253</v>
      </c>
      <c r="D2150" s="113">
        <v>0</v>
      </c>
    </row>
    <row r="2151" spans="1:4">
      <c r="A2151" s="107">
        <v>2</v>
      </c>
      <c r="B2151" s="1324"/>
      <c r="C2151" t="s">
        <v>421</v>
      </c>
      <c r="D2151" s="113">
        <v>0</v>
      </c>
    </row>
    <row r="2152" spans="1:4">
      <c r="A2152" s="107">
        <v>1</v>
      </c>
      <c r="B2152" s="1323" t="s">
        <v>1104</v>
      </c>
      <c r="C2152" t="s">
        <v>444</v>
      </c>
      <c r="D2152" s="113">
        <v>51626</v>
      </c>
    </row>
    <row r="2153" spans="1:4">
      <c r="A2153" s="107">
        <v>1</v>
      </c>
      <c r="B2153" s="1324"/>
      <c r="C2153" t="s">
        <v>445</v>
      </c>
      <c r="D2153" s="113">
        <v>0</v>
      </c>
    </row>
    <row r="2154" spans="1:4">
      <c r="A2154" s="107">
        <v>1</v>
      </c>
      <c r="B2154" s="1324"/>
      <c r="C2154" t="s">
        <v>446</v>
      </c>
      <c r="D2154" s="113">
        <v>4253.3</v>
      </c>
    </row>
    <row r="2155" spans="1:4">
      <c r="A2155" s="107">
        <v>1</v>
      </c>
      <c r="B2155" s="1324"/>
      <c r="C2155" t="s">
        <v>1253</v>
      </c>
      <c r="D2155" s="113">
        <v>0</v>
      </c>
    </row>
    <row r="2156" spans="1:4">
      <c r="A2156" s="107">
        <v>1</v>
      </c>
      <c r="B2156" s="1324"/>
      <c r="C2156" t="s">
        <v>421</v>
      </c>
      <c r="D2156" s="113">
        <v>0</v>
      </c>
    </row>
    <row r="2157" spans="1:4">
      <c r="A2157" s="107">
        <v>1</v>
      </c>
      <c r="B2157" s="1323" t="s">
        <v>1105</v>
      </c>
      <c r="C2157" t="s">
        <v>444</v>
      </c>
      <c r="D2157" s="113">
        <v>0</v>
      </c>
    </row>
    <row r="2158" spans="1:4">
      <c r="A2158" s="107">
        <v>1</v>
      </c>
      <c r="B2158" s="1324"/>
      <c r="C2158" t="s">
        <v>445</v>
      </c>
      <c r="D2158" s="113">
        <v>0</v>
      </c>
    </row>
    <row r="2159" spans="1:4">
      <c r="A2159" s="107">
        <v>1</v>
      </c>
      <c r="B2159" s="1324"/>
      <c r="C2159" t="s">
        <v>446</v>
      </c>
      <c r="D2159" s="113">
        <v>128386</v>
      </c>
    </row>
    <row r="2160" spans="1:4">
      <c r="A2160" s="107">
        <v>1</v>
      </c>
      <c r="B2160" s="1324"/>
      <c r="C2160" t="s">
        <v>1253</v>
      </c>
      <c r="D2160" s="113">
        <v>0</v>
      </c>
    </row>
    <row r="2161" spans="1:4">
      <c r="A2161" s="107">
        <v>1</v>
      </c>
      <c r="B2161" s="1324"/>
      <c r="C2161" t="s">
        <v>421</v>
      </c>
      <c r="D2161" s="113">
        <v>0</v>
      </c>
    </row>
    <row r="2162" spans="1:4">
      <c r="A2162" s="107">
        <v>2</v>
      </c>
      <c r="B2162" s="1323" t="s">
        <v>1106</v>
      </c>
      <c r="C2162" t="s">
        <v>444</v>
      </c>
      <c r="D2162" s="113">
        <v>0</v>
      </c>
    </row>
    <row r="2163" spans="1:4">
      <c r="A2163" s="107">
        <v>2</v>
      </c>
      <c r="B2163" s="1324"/>
      <c r="C2163" t="s">
        <v>445</v>
      </c>
      <c r="D2163" s="113">
        <v>0</v>
      </c>
    </row>
    <row r="2164" spans="1:4">
      <c r="A2164" s="107">
        <v>2</v>
      </c>
      <c r="B2164" s="1324"/>
      <c r="C2164" t="s">
        <v>446</v>
      </c>
      <c r="D2164" s="113">
        <v>74644.100000000006</v>
      </c>
    </row>
    <row r="2165" spans="1:4">
      <c r="A2165" s="107">
        <v>2</v>
      </c>
      <c r="B2165" s="1324"/>
      <c r="C2165" t="s">
        <v>1253</v>
      </c>
      <c r="D2165" s="113">
        <v>0</v>
      </c>
    </row>
    <row r="2166" spans="1:4">
      <c r="A2166" s="107">
        <v>2</v>
      </c>
      <c r="B2166" s="1324"/>
      <c r="C2166" t="s">
        <v>421</v>
      </c>
      <c r="D2166" s="113">
        <v>0</v>
      </c>
    </row>
    <row r="2167" spans="1:4">
      <c r="A2167" s="107">
        <v>2</v>
      </c>
      <c r="B2167" s="1324" t="s">
        <v>1555</v>
      </c>
      <c r="C2167" t="s">
        <v>444</v>
      </c>
      <c r="D2167" s="113">
        <v>0</v>
      </c>
    </row>
    <row r="2168" spans="1:4">
      <c r="A2168" s="107">
        <v>2</v>
      </c>
      <c r="B2168" s="1324"/>
      <c r="C2168" t="s">
        <v>445</v>
      </c>
      <c r="D2168" s="113">
        <v>0</v>
      </c>
    </row>
    <row r="2169" spans="1:4">
      <c r="A2169" s="107">
        <v>2</v>
      </c>
      <c r="B2169" s="1324"/>
      <c r="C2169" t="s">
        <v>446</v>
      </c>
      <c r="D2169" s="113">
        <v>19916.2</v>
      </c>
    </row>
    <row r="2170" spans="1:4">
      <c r="A2170" s="107">
        <v>2</v>
      </c>
      <c r="B2170" s="1324"/>
      <c r="C2170" t="s">
        <v>1253</v>
      </c>
      <c r="D2170" s="113">
        <v>0</v>
      </c>
    </row>
    <row r="2171" spans="1:4">
      <c r="A2171" s="107">
        <v>2</v>
      </c>
      <c r="B2171" s="1325"/>
      <c r="C2171" t="s">
        <v>421</v>
      </c>
      <c r="D2171" s="113">
        <v>0</v>
      </c>
    </row>
    <row r="2172" spans="1:4">
      <c r="A2172" s="107">
        <v>1</v>
      </c>
      <c r="B2172" s="1323" t="s">
        <v>1107</v>
      </c>
      <c r="C2172" t="s">
        <v>444</v>
      </c>
      <c r="D2172" s="113">
        <v>686177.2</v>
      </c>
    </row>
    <row r="2173" spans="1:4">
      <c r="A2173" s="107">
        <v>1</v>
      </c>
      <c r="B2173" s="1324"/>
      <c r="C2173" t="s">
        <v>445</v>
      </c>
      <c r="D2173" s="113">
        <v>0</v>
      </c>
    </row>
    <row r="2174" spans="1:4">
      <c r="A2174" s="107">
        <v>1</v>
      </c>
      <c r="B2174" s="1324"/>
      <c r="C2174" t="s">
        <v>446</v>
      </c>
      <c r="D2174" s="113">
        <v>0</v>
      </c>
    </row>
    <row r="2175" spans="1:4">
      <c r="A2175" s="107">
        <v>1</v>
      </c>
      <c r="B2175" s="1324"/>
      <c r="C2175" t="s">
        <v>1253</v>
      </c>
      <c r="D2175" s="113">
        <v>0</v>
      </c>
    </row>
    <row r="2176" spans="1:4">
      <c r="A2176" s="107">
        <v>1</v>
      </c>
      <c r="B2176" s="1324"/>
      <c r="C2176" t="s">
        <v>421</v>
      </c>
      <c r="D2176" s="113">
        <v>0</v>
      </c>
    </row>
    <row r="2177" spans="1:4">
      <c r="A2177" s="107">
        <v>2</v>
      </c>
      <c r="B2177" s="1323" t="s">
        <v>1108</v>
      </c>
      <c r="C2177" t="s">
        <v>444</v>
      </c>
      <c r="D2177" s="113">
        <v>0</v>
      </c>
    </row>
    <row r="2178" spans="1:4">
      <c r="A2178" s="107">
        <v>2</v>
      </c>
      <c r="B2178" s="1324"/>
      <c r="C2178" t="s">
        <v>445</v>
      </c>
      <c r="D2178" s="113">
        <v>0</v>
      </c>
    </row>
    <row r="2179" spans="1:4">
      <c r="A2179" s="107">
        <v>2</v>
      </c>
      <c r="B2179" s="1324"/>
      <c r="C2179" t="s">
        <v>446</v>
      </c>
      <c r="D2179" s="113">
        <v>28756.5</v>
      </c>
    </row>
    <row r="2180" spans="1:4">
      <c r="A2180" s="107">
        <v>2</v>
      </c>
      <c r="B2180" s="1324"/>
      <c r="C2180" t="s">
        <v>1253</v>
      </c>
      <c r="D2180" s="113">
        <v>0</v>
      </c>
    </row>
    <row r="2181" spans="1:4">
      <c r="A2181" s="107">
        <v>2</v>
      </c>
      <c r="B2181" s="1324"/>
      <c r="C2181" t="s">
        <v>421</v>
      </c>
      <c r="D2181" s="113">
        <v>0</v>
      </c>
    </row>
    <row r="2182" spans="1:4">
      <c r="A2182" s="107">
        <v>2</v>
      </c>
      <c r="B2182" s="1323" t="s">
        <v>1109</v>
      </c>
      <c r="C2182" t="s">
        <v>444</v>
      </c>
      <c r="D2182" s="113">
        <v>0</v>
      </c>
    </row>
    <row r="2183" spans="1:4">
      <c r="A2183" s="107">
        <v>2</v>
      </c>
      <c r="B2183" s="1324"/>
      <c r="C2183" t="s">
        <v>445</v>
      </c>
      <c r="D2183" s="113">
        <v>0</v>
      </c>
    </row>
    <row r="2184" spans="1:4">
      <c r="A2184" s="107">
        <v>2</v>
      </c>
      <c r="B2184" s="1324"/>
      <c r="C2184" t="s">
        <v>446</v>
      </c>
      <c r="D2184" s="113">
        <v>27669.7</v>
      </c>
    </row>
    <row r="2185" spans="1:4">
      <c r="A2185" s="107">
        <v>2</v>
      </c>
      <c r="B2185" s="1324"/>
      <c r="C2185" t="s">
        <v>1253</v>
      </c>
      <c r="D2185" s="113">
        <v>0</v>
      </c>
    </row>
    <row r="2186" spans="1:4">
      <c r="A2186" s="107">
        <v>2</v>
      </c>
      <c r="B2186" s="1324"/>
      <c r="C2186" t="s">
        <v>421</v>
      </c>
      <c r="D2186" s="113">
        <v>0</v>
      </c>
    </row>
    <row r="2187" spans="1:4">
      <c r="A2187" s="107">
        <v>2</v>
      </c>
      <c r="B2187" s="1323" t="s">
        <v>1110</v>
      </c>
      <c r="C2187" t="s">
        <v>444</v>
      </c>
      <c r="D2187" s="113">
        <v>0</v>
      </c>
    </row>
    <row r="2188" spans="1:4">
      <c r="A2188" s="107">
        <v>2</v>
      </c>
      <c r="B2188" s="1324"/>
      <c r="C2188" t="s">
        <v>445</v>
      </c>
      <c r="D2188" s="113">
        <v>0</v>
      </c>
    </row>
    <row r="2189" spans="1:4">
      <c r="A2189" s="107">
        <v>2</v>
      </c>
      <c r="B2189" s="1324"/>
      <c r="C2189" t="s">
        <v>446</v>
      </c>
      <c r="D2189" s="113">
        <v>11497.1</v>
      </c>
    </row>
    <row r="2190" spans="1:4">
      <c r="A2190" s="107">
        <v>2</v>
      </c>
      <c r="B2190" s="1324"/>
      <c r="C2190" t="s">
        <v>1253</v>
      </c>
      <c r="D2190" s="113">
        <v>0</v>
      </c>
    </row>
    <row r="2191" spans="1:4">
      <c r="A2191" s="107">
        <v>2</v>
      </c>
      <c r="B2191" s="1324"/>
      <c r="C2191" t="s">
        <v>421</v>
      </c>
      <c r="D2191" s="113">
        <v>0</v>
      </c>
    </row>
    <row r="2192" spans="1:4">
      <c r="A2192" s="107">
        <v>1</v>
      </c>
      <c r="B2192" s="1323" t="s">
        <v>1111</v>
      </c>
      <c r="C2192" t="s">
        <v>444</v>
      </c>
      <c r="D2192" s="113">
        <v>105439.2</v>
      </c>
    </row>
    <row r="2193" spans="1:4">
      <c r="A2193" s="107">
        <v>1</v>
      </c>
      <c r="B2193" s="1324"/>
      <c r="C2193" t="s">
        <v>445</v>
      </c>
      <c r="D2193" s="113">
        <v>22553.4</v>
      </c>
    </row>
    <row r="2194" spans="1:4">
      <c r="A2194" s="107">
        <v>1</v>
      </c>
      <c r="B2194" s="1324"/>
      <c r="C2194" t="s">
        <v>446</v>
      </c>
      <c r="D2194" s="113">
        <v>61504.3</v>
      </c>
    </row>
    <row r="2195" spans="1:4">
      <c r="A2195" s="107">
        <v>1</v>
      </c>
      <c r="B2195" s="1324"/>
      <c r="C2195" t="s">
        <v>1253</v>
      </c>
      <c r="D2195" s="113">
        <v>10221.6</v>
      </c>
    </row>
    <row r="2196" spans="1:4">
      <c r="A2196" s="107">
        <v>1</v>
      </c>
      <c r="B2196" s="1324"/>
      <c r="C2196" t="s">
        <v>421</v>
      </c>
      <c r="D2196" s="113">
        <v>12437.5</v>
      </c>
    </row>
    <row r="2197" spans="1:4">
      <c r="A2197" s="107">
        <v>1</v>
      </c>
      <c r="B2197" s="1323" t="s">
        <v>1112</v>
      </c>
      <c r="C2197" t="s">
        <v>444</v>
      </c>
      <c r="D2197" s="113">
        <v>619069</v>
      </c>
    </row>
    <row r="2198" spans="1:4">
      <c r="A2198" s="107">
        <v>1</v>
      </c>
      <c r="B2198" s="1324"/>
      <c r="C2198" t="s">
        <v>445</v>
      </c>
      <c r="D2198" s="113">
        <v>33454.199999999997</v>
      </c>
    </row>
    <row r="2199" spans="1:4">
      <c r="A2199" s="107">
        <v>1</v>
      </c>
      <c r="B2199" s="1324"/>
      <c r="C2199" t="s">
        <v>446</v>
      </c>
      <c r="D2199" s="113">
        <v>16802.900000000001</v>
      </c>
    </row>
    <row r="2200" spans="1:4">
      <c r="A2200" s="107">
        <v>1</v>
      </c>
      <c r="B2200" s="1324"/>
      <c r="C2200" t="s">
        <v>1253</v>
      </c>
      <c r="D2200" s="113">
        <v>0</v>
      </c>
    </row>
    <row r="2201" spans="1:4">
      <c r="A2201" s="107">
        <v>1</v>
      </c>
      <c r="B2201" s="1324"/>
      <c r="C2201" t="s">
        <v>421</v>
      </c>
      <c r="D2201" s="113">
        <v>4122.7</v>
      </c>
    </row>
    <row r="2202" spans="1:4">
      <c r="A2202" s="107">
        <v>2</v>
      </c>
      <c r="B2202" s="1323" t="s">
        <v>1113</v>
      </c>
      <c r="C2202" t="s">
        <v>444</v>
      </c>
      <c r="D2202" s="113">
        <v>0</v>
      </c>
    </row>
    <row r="2203" spans="1:4">
      <c r="A2203" s="107">
        <v>2</v>
      </c>
      <c r="B2203" s="1324"/>
      <c r="C2203" t="s">
        <v>445</v>
      </c>
      <c r="D2203" s="113">
        <v>0</v>
      </c>
    </row>
    <row r="2204" spans="1:4">
      <c r="A2204" s="107">
        <v>2</v>
      </c>
      <c r="B2204" s="1324"/>
      <c r="C2204" t="s">
        <v>446</v>
      </c>
      <c r="D2204" s="113">
        <v>16654.099999999999</v>
      </c>
    </row>
    <row r="2205" spans="1:4">
      <c r="A2205" s="107">
        <v>2</v>
      </c>
      <c r="B2205" s="1324"/>
      <c r="C2205" t="s">
        <v>1253</v>
      </c>
      <c r="D2205" s="113">
        <v>0</v>
      </c>
    </row>
    <row r="2206" spans="1:4">
      <c r="A2206" s="107">
        <v>2</v>
      </c>
      <c r="B2206" s="1324"/>
      <c r="C2206" t="s">
        <v>421</v>
      </c>
      <c r="D2206" s="113">
        <v>0</v>
      </c>
    </row>
    <row r="2207" spans="1:4">
      <c r="A2207" s="107">
        <v>2</v>
      </c>
      <c r="B2207" s="1323" t="s">
        <v>1114</v>
      </c>
      <c r="C2207" t="s">
        <v>444</v>
      </c>
      <c r="D2207" s="113">
        <v>0</v>
      </c>
    </row>
    <row r="2208" spans="1:4">
      <c r="A2208" s="107">
        <v>2</v>
      </c>
      <c r="B2208" s="1324"/>
      <c r="C2208" t="s">
        <v>445</v>
      </c>
      <c r="D2208" s="113">
        <v>0</v>
      </c>
    </row>
    <row r="2209" spans="1:4">
      <c r="A2209" s="107">
        <v>2</v>
      </c>
      <c r="B2209" s="1324"/>
      <c r="C2209" t="s">
        <v>446</v>
      </c>
      <c r="D2209" s="113">
        <v>22515.4</v>
      </c>
    </row>
    <row r="2210" spans="1:4">
      <c r="A2210" s="107">
        <v>2</v>
      </c>
      <c r="B2210" s="1324"/>
      <c r="C2210" t="s">
        <v>1253</v>
      </c>
      <c r="D2210" s="113">
        <v>0</v>
      </c>
    </row>
    <row r="2211" spans="1:4">
      <c r="A2211" s="107">
        <v>2</v>
      </c>
      <c r="B2211" s="1324"/>
      <c r="C2211" t="s">
        <v>421</v>
      </c>
      <c r="D2211" s="113">
        <v>0</v>
      </c>
    </row>
    <row r="2212" spans="1:4">
      <c r="A2212" s="107">
        <v>2</v>
      </c>
      <c r="B2212" s="1323" t="s">
        <v>1115</v>
      </c>
      <c r="C2212" t="s">
        <v>444</v>
      </c>
      <c r="D2212" s="113">
        <v>0</v>
      </c>
    </row>
    <row r="2213" spans="1:4">
      <c r="A2213" s="107">
        <v>2</v>
      </c>
      <c r="B2213" s="1324"/>
      <c r="C2213" t="s">
        <v>445</v>
      </c>
      <c r="D2213" s="113">
        <v>0</v>
      </c>
    </row>
    <row r="2214" spans="1:4">
      <c r="A2214" s="107">
        <v>2</v>
      </c>
      <c r="B2214" s="1324"/>
      <c r="C2214" t="s">
        <v>446</v>
      </c>
      <c r="D2214" s="113">
        <v>9399.2000000000007</v>
      </c>
    </row>
    <row r="2215" spans="1:4">
      <c r="A2215" s="107">
        <v>2</v>
      </c>
      <c r="B2215" s="1324"/>
      <c r="C2215" t="s">
        <v>1253</v>
      </c>
      <c r="D2215" s="113">
        <v>0</v>
      </c>
    </row>
    <row r="2216" spans="1:4">
      <c r="A2216" s="107">
        <v>2</v>
      </c>
      <c r="B2216" s="1324"/>
      <c r="C2216" t="s">
        <v>421</v>
      </c>
      <c r="D2216" s="113">
        <v>0</v>
      </c>
    </row>
    <row r="2217" spans="1:4" ht="12.75" customHeight="1">
      <c r="A2217" s="107">
        <v>4</v>
      </c>
      <c r="B2217" s="1323" t="s">
        <v>1116</v>
      </c>
      <c r="C2217" t="s">
        <v>444</v>
      </c>
      <c r="D2217" s="113">
        <v>684860.7</v>
      </c>
    </row>
    <row r="2218" spans="1:4">
      <c r="A2218" s="107">
        <v>4</v>
      </c>
      <c r="B2218" s="1324"/>
      <c r="C2218" t="s">
        <v>445</v>
      </c>
      <c r="D2218" s="113">
        <v>0</v>
      </c>
    </row>
    <row r="2219" spans="1:4">
      <c r="A2219" s="107">
        <v>4</v>
      </c>
      <c r="B2219" s="1324"/>
      <c r="C2219" t="s">
        <v>446</v>
      </c>
      <c r="D2219" s="113">
        <v>33992.9</v>
      </c>
    </row>
    <row r="2220" spans="1:4">
      <c r="A2220" s="107">
        <v>4</v>
      </c>
      <c r="B2220" s="1324"/>
      <c r="C2220" t="s">
        <v>1253</v>
      </c>
      <c r="D2220" s="113">
        <v>0</v>
      </c>
    </row>
    <row r="2221" spans="1:4">
      <c r="A2221" s="107">
        <v>4</v>
      </c>
      <c r="B2221" s="1324"/>
      <c r="C2221" t="s">
        <v>421</v>
      </c>
      <c r="D2221" s="113">
        <v>0</v>
      </c>
    </row>
    <row r="2222" spans="1:4" ht="12.75" customHeight="1">
      <c r="A2222" s="107">
        <v>1</v>
      </c>
      <c r="B2222" s="1323" t="s">
        <v>1117</v>
      </c>
      <c r="C2222" t="s">
        <v>444</v>
      </c>
      <c r="D2222" s="113">
        <v>1801087.2</v>
      </c>
    </row>
    <row r="2223" spans="1:4">
      <c r="A2223" s="107">
        <v>1</v>
      </c>
      <c r="B2223" s="1324"/>
      <c r="C2223" t="s">
        <v>445</v>
      </c>
      <c r="D2223" s="113">
        <v>650611.9</v>
      </c>
    </row>
    <row r="2224" spans="1:4">
      <c r="A2224" s="107">
        <v>1</v>
      </c>
      <c r="B2224" s="1324"/>
      <c r="C2224" t="s">
        <v>446</v>
      </c>
      <c r="D2224" s="113">
        <v>112244.3</v>
      </c>
    </row>
    <row r="2225" spans="1:4">
      <c r="A2225" s="107">
        <v>1</v>
      </c>
      <c r="B2225" s="1324"/>
      <c r="C2225" t="s">
        <v>1253</v>
      </c>
      <c r="D2225" s="113">
        <v>0</v>
      </c>
    </row>
    <row r="2226" spans="1:4">
      <c r="A2226" s="107">
        <v>1</v>
      </c>
      <c r="B2226" s="1324"/>
      <c r="C2226" t="s">
        <v>421</v>
      </c>
      <c r="D2226" s="113">
        <v>73717.600000000006</v>
      </c>
    </row>
    <row r="2227" spans="1:4">
      <c r="A2227" s="107">
        <v>3</v>
      </c>
      <c r="B2227" s="1324" t="s">
        <v>1118</v>
      </c>
      <c r="C2227" t="s">
        <v>444</v>
      </c>
      <c r="D2227" s="113">
        <v>81210.2</v>
      </c>
    </row>
    <row r="2228" spans="1:4">
      <c r="A2228" s="107">
        <v>3</v>
      </c>
      <c r="B2228" s="1324"/>
      <c r="C2228" t="s">
        <v>445</v>
      </c>
      <c r="D2228" s="113">
        <v>0</v>
      </c>
    </row>
    <row r="2229" spans="1:4">
      <c r="A2229" s="107">
        <v>3</v>
      </c>
      <c r="B2229" s="1324"/>
      <c r="C2229" t="s">
        <v>446</v>
      </c>
      <c r="D2229" s="113">
        <v>6736.9</v>
      </c>
    </row>
    <row r="2230" spans="1:4">
      <c r="A2230" s="107">
        <v>3</v>
      </c>
      <c r="B2230" s="1324"/>
      <c r="C2230" t="s">
        <v>1253</v>
      </c>
      <c r="D2230" s="113">
        <v>0</v>
      </c>
    </row>
    <row r="2231" spans="1:4">
      <c r="A2231" s="107">
        <v>3</v>
      </c>
      <c r="B2231" s="1325"/>
      <c r="C2231" t="s">
        <v>421</v>
      </c>
      <c r="D2231" s="113">
        <v>0</v>
      </c>
    </row>
    <row r="2232" spans="1:4">
      <c r="A2232" s="107">
        <v>2</v>
      </c>
      <c r="B2232" s="1323" t="s">
        <v>1119</v>
      </c>
      <c r="C2232" t="s">
        <v>444</v>
      </c>
      <c r="D2232" s="113">
        <v>0</v>
      </c>
    </row>
    <row r="2233" spans="1:4">
      <c r="A2233" s="107">
        <v>2</v>
      </c>
      <c r="B2233" s="1324"/>
      <c r="C2233" t="s">
        <v>445</v>
      </c>
      <c r="D2233" s="113">
        <v>0</v>
      </c>
    </row>
    <row r="2234" spans="1:4">
      <c r="A2234" s="107">
        <v>2</v>
      </c>
      <c r="B2234" s="1324"/>
      <c r="C2234" t="s">
        <v>446</v>
      </c>
      <c r="D2234" s="113">
        <v>28863.599999999999</v>
      </c>
    </row>
    <row r="2235" spans="1:4">
      <c r="A2235" s="107">
        <v>2</v>
      </c>
      <c r="B2235" s="1324"/>
      <c r="C2235" t="s">
        <v>1253</v>
      </c>
      <c r="D2235" s="113">
        <v>0</v>
      </c>
    </row>
    <row r="2236" spans="1:4">
      <c r="A2236" s="107">
        <v>2</v>
      </c>
      <c r="B2236" s="1325"/>
      <c r="C2236" t="s">
        <v>421</v>
      </c>
      <c r="D2236" s="113">
        <v>0</v>
      </c>
    </row>
    <row r="2237" spans="1:4">
      <c r="A2237" s="107">
        <v>1</v>
      </c>
      <c r="B2237" s="1323" t="s">
        <v>1120</v>
      </c>
      <c r="C2237" t="s">
        <v>444</v>
      </c>
      <c r="D2237" s="113">
        <v>18481.900000000001</v>
      </c>
    </row>
    <row r="2238" spans="1:4">
      <c r="A2238" s="107">
        <v>1</v>
      </c>
      <c r="B2238" s="1324"/>
      <c r="C2238" t="s">
        <v>445</v>
      </c>
      <c r="D2238" s="113">
        <v>0</v>
      </c>
    </row>
    <row r="2239" spans="1:4">
      <c r="A2239" s="107">
        <v>1</v>
      </c>
      <c r="B2239" s="1324"/>
      <c r="C2239" t="s">
        <v>446</v>
      </c>
      <c r="D2239" s="113">
        <v>0</v>
      </c>
    </row>
    <row r="2240" spans="1:4">
      <c r="A2240" s="107">
        <v>1</v>
      </c>
      <c r="B2240" s="1324"/>
      <c r="C2240" t="s">
        <v>1253</v>
      </c>
      <c r="D2240" s="113">
        <v>0</v>
      </c>
    </row>
    <row r="2241" spans="1:4">
      <c r="A2241" s="107">
        <v>1</v>
      </c>
      <c r="B2241" s="1325"/>
      <c r="C2241" t="s">
        <v>421</v>
      </c>
      <c r="D2241" s="113">
        <v>0</v>
      </c>
    </row>
    <row r="2242" spans="1:4">
      <c r="A2242" s="107">
        <v>10</v>
      </c>
      <c r="B2242" s="1323" t="s">
        <v>1121</v>
      </c>
      <c r="C2242" t="s">
        <v>444</v>
      </c>
      <c r="D2242" s="113">
        <v>101005.6</v>
      </c>
    </row>
    <row r="2243" spans="1:4">
      <c r="A2243" s="107">
        <v>10</v>
      </c>
      <c r="B2243" s="1324"/>
      <c r="C2243" t="s">
        <v>445</v>
      </c>
      <c r="D2243" s="113">
        <v>0</v>
      </c>
    </row>
    <row r="2244" spans="1:4">
      <c r="A2244" s="107">
        <v>10</v>
      </c>
      <c r="B2244" s="1324"/>
      <c r="C2244" t="s">
        <v>446</v>
      </c>
      <c r="D2244" s="113">
        <v>131135.4</v>
      </c>
    </row>
    <row r="2245" spans="1:4">
      <c r="A2245" s="107">
        <v>10</v>
      </c>
      <c r="B2245" s="1324"/>
      <c r="C2245" t="s">
        <v>1253</v>
      </c>
      <c r="D2245" s="113">
        <v>0</v>
      </c>
    </row>
    <row r="2246" spans="1:4">
      <c r="A2246" s="107">
        <v>10</v>
      </c>
      <c r="B2246" s="1325"/>
      <c r="C2246" t="s">
        <v>421</v>
      </c>
      <c r="D2246" s="113">
        <v>0</v>
      </c>
    </row>
    <row r="2247" spans="1:4" ht="12.75" customHeight="1">
      <c r="A2247" s="107">
        <v>2</v>
      </c>
      <c r="B2247" s="1323" t="s">
        <v>1122</v>
      </c>
      <c r="C2247" t="s">
        <v>444</v>
      </c>
      <c r="D2247" s="113">
        <v>0</v>
      </c>
    </row>
    <row r="2248" spans="1:4">
      <c r="A2248" s="107">
        <v>2</v>
      </c>
      <c r="B2248" s="1324"/>
      <c r="C2248" t="s">
        <v>445</v>
      </c>
      <c r="D2248" s="113">
        <v>0</v>
      </c>
    </row>
    <row r="2249" spans="1:4">
      <c r="A2249" s="107">
        <v>2</v>
      </c>
      <c r="B2249" s="1324"/>
      <c r="C2249" t="s">
        <v>446</v>
      </c>
      <c r="D2249" s="113">
        <v>24352.400000000001</v>
      </c>
    </row>
    <row r="2250" spans="1:4">
      <c r="A2250" s="107">
        <v>2</v>
      </c>
      <c r="B2250" s="1324"/>
      <c r="C2250" t="s">
        <v>1253</v>
      </c>
      <c r="D2250" s="113">
        <v>0</v>
      </c>
    </row>
    <row r="2251" spans="1:4">
      <c r="A2251" s="107">
        <v>2</v>
      </c>
      <c r="B2251" s="1325"/>
      <c r="C2251" t="s">
        <v>421</v>
      </c>
      <c r="D2251" s="113">
        <v>0</v>
      </c>
    </row>
    <row r="2252" spans="1:4">
      <c r="A2252" s="107">
        <v>1</v>
      </c>
      <c r="B2252" s="1323" t="s">
        <v>1123</v>
      </c>
      <c r="C2252" t="s">
        <v>444</v>
      </c>
      <c r="D2252" s="113">
        <v>0</v>
      </c>
    </row>
    <row r="2253" spans="1:4">
      <c r="A2253" s="107">
        <v>1</v>
      </c>
      <c r="B2253" s="1324"/>
      <c r="C2253" t="s">
        <v>445</v>
      </c>
      <c r="D2253" s="113">
        <v>0</v>
      </c>
    </row>
    <row r="2254" spans="1:4">
      <c r="A2254" s="107">
        <v>1</v>
      </c>
      <c r="B2254" s="1324"/>
      <c r="C2254" t="s">
        <v>446</v>
      </c>
      <c r="D2254" s="113">
        <v>11143.3</v>
      </c>
    </row>
    <row r="2255" spans="1:4">
      <c r="A2255" s="107">
        <v>1</v>
      </c>
      <c r="B2255" s="1324"/>
      <c r="C2255" t="s">
        <v>1253</v>
      </c>
      <c r="D2255" s="113">
        <v>0</v>
      </c>
    </row>
    <row r="2256" spans="1:4">
      <c r="A2256" s="107">
        <v>1</v>
      </c>
      <c r="B2256" s="1325"/>
      <c r="C2256" t="s">
        <v>421</v>
      </c>
      <c r="D2256" s="113">
        <v>0</v>
      </c>
    </row>
    <row r="2257" spans="1:4" ht="12.75" customHeight="1">
      <c r="A2257" s="107">
        <v>5</v>
      </c>
      <c r="B2257" s="1323" t="s">
        <v>1124</v>
      </c>
      <c r="C2257" t="s">
        <v>444</v>
      </c>
      <c r="D2257" s="113">
        <v>157378.20000000001</v>
      </c>
    </row>
    <row r="2258" spans="1:4">
      <c r="A2258" s="107">
        <v>5</v>
      </c>
      <c r="B2258" s="1324"/>
      <c r="C2258" t="s">
        <v>445</v>
      </c>
      <c r="D2258" s="113">
        <v>0</v>
      </c>
    </row>
    <row r="2259" spans="1:4">
      <c r="A2259" s="107">
        <v>5</v>
      </c>
      <c r="B2259" s="1324"/>
      <c r="C2259" t="s">
        <v>446</v>
      </c>
      <c r="D2259" s="113">
        <v>0</v>
      </c>
    </row>
    <row r="2260" spans="1:4">
      <c r="A2260" s="107">
        <v>5</v>
      </c>
      <c r="B2260" s="1324"/>
      <c r="C2260" t="s">
        <v>1253</v>
      </c>
      <c r="D2260" s="113">
        <v>0</v>
      </c>
    </row>
    <row r="2261" spans="1:4">
      <c r="A2261" s="107">
        <v>5</v>
      </c>
      <c r="B2261" s="1325"/>
      <c r="C2261" t="s">
        <v>421</v>
      </c>
      <c r="D2261" s="113">
        <v>0</v>
      </c>
    </row>
    <row r="2262" spans="1:4">
      <c r="A2262" s="107">
        <v>10</v>
      </c>
      <c r="B2262" s="1328" t="s">
        <v>1125</v>
      </c>
      <c r="C2262" t="s">
        <v>444</v>
      </c>
      <c r="D2262" s="113">
        <v>0</v>
      </c>
    </row>
    <row r="2263" spans="1:4">
      <c r="A2263" s="107">
        <v>10</v>
      </c>
      <c r="B2263" s="1328"/>
      <c r="C2263" t="s">
        <v>445</v>
      </c>
      <c r="D2263" s="113">
        <v>0</v>
      </c>
    </row>
    <row r="2264" spans="1:4">
      <c r="A2264" s="107">
        <v>10</v>
      </c>
      <c r="B2264" s="1328"/>
      <c r="C2264" t="s">
        <v>446</v>
      </c>
      <c r="D2264" s="113">
        <v>155361</v>
      </c>
    </row>
    <row r="2265" spans="1:4">
      <c r="A2265" s="107">
        <v>10</v>
      </c>
      <c r="B2265" s="1328"/>
      <c r="C2265" t="s">
        <v>1253</v>
      </c>
      <c r="D2265" s="113">
        <v>0</v>
      </c>
    </row>
    <row r="2266" spans="1:4">
      <c r="A2266" s="107">
        <v>10</v>
      </c>
      <c r="B2266" s="1328"/>
      <c r="C2266" t="s">
        <v>421</v>
      </c>
      <c r="D2266" s="113">
        <v>0</v>
      </c>
    </row>
    <row r="2267" spans="1:4" ht="12.75" customHeight="1">
      <c r="A2267" s="107">
        <v>4</v>
      </c>
      <c r="B2267" s="1323" t="s">
        <v>1126</v>
      </c>
      <c r="C2267" t="s">
        <v>444</v>
      </c>
      <c r="D2267" s="113">
        <v>886009.3</v>
      </c>
    </row>
    <row r="2268" spans="1:4">
      <c r="A2268" s="107">
        <v>4</v>
      </c>
      <c r="B2268" s="1324"/>
      <c r="C2268" t="s">
        <v>445</v>
      </c>
      <c r="D2268" s="113">
        <v>0</v>
      </c>
    </row>
    <row r="2269" spans="1:4">
      <c r="A2269" s="107">
        <v>4</v>
      </c>
      <c r="B2269" s="1324"/>
      <c r="C2269" t="s">
        <v>446</v>
      </c>
      <c r="D2269" s="113">
        <v>8603.7999999999993</v>
      </c>
    </row>
    <row r="2270" spans="1:4">
      <c r="A2270" s="107">
        <v>4</v>
      </c>
      <c r="B2270" s="1324"/>
      <c r="C2270" t="s">
        <v>1253</v>
      </c>
      <c r="D2270" s="113">
        <v>0</v>
      </c>
    </row>
    <row r="2271" spans="1:4">
      <c r="A2271" s="107">
        <v>4</v>
      </c>
      <c r="B2271" s="1325"/>
      <c r="C2271" t="s">
        <v>421</v>
      </c>
      <c r="D2271" s="113">
        <v>0</v>
      </c>
    </row>
    <row r="2272" spans="1:4" ht="12.75" customHeight="1">
      <c r="A2272" s="107">
        <v>2</v>
      </c>
      <c r="B2272" s="1323" t="s">
        <v>1127</v>
      </c>
      <c r="C2272" t="s">
        <v>444</v>
      </c>
      <c r="D2272" s="113">
        <v>0</v>
      </c>
    </row>
    <row r="2273" spans="1:4">
      <c r="A2273" s="107">
        <v>2</v>
      </c>
      <c r="B2273" s="1324"/>
      <c r="C2273" t="s">
        <v>445</v>
      </c>
      <c r="D2273" s="113">
        <v>0</v>
      </c>
    </row>
    <row r="2274" spans="1:4">
      <c r="A2274" s="107">
        <v>2</v>
      </c>
      <c r="B2274" s="1324"/>
      <c r="C2274" t="s">
        <v>446</v>
      </c>
      <c r="D2274" s="113">
        <v>49921.7</v>
      </c>
    </row>
    <row r="2275" spans="1:4">
      <c r="A2275" s="107">
        <v>2</v>
      </c>
      <c r="B2275" s="1324"/>
      <c r="C2275" t="s">
        <v>1253</v>
      </c>
      <c r="D2275" s="113">
        <v>0</v>
      </c>
    </row>
    <row r="2276" spans="1:4">
      <c r="A2276" s="107">
        <v>2</v>
      </c>
      <c r="B2276" s="1325"/>
      <c r="C2276" t="s">
        <v>421</v>
      </c>
      <c r="D2276" s="113">
        <v>0</v>
      </c>
    </row>
    <row r="2277" spans="1:4" ht="12.75" customHeight="1">
      <c r="A2277" s="107">
        <v>1</v>
      </c>
      <c r="B2277" s="1323" t="s">
        <v>1128</v>
      </c>
      <c r="C2277" t="s">
        <v>444</v>
      </c>
      <c r="D2277" s="113">
        <v>1261766.6000000001</v>
      </c>
    </row>
    <row r="2278" spans="1:4">
      <c r="A2278" s="107">
        <v>1</v>
      </c>
      <c r="B2278" s="1324"/>
      <c r="C2278" t="s">
        <v>445</v>
      </c>
      <c r="D2278" s="113">
        <v>380778.4</v>
      </c>
    </row>
    <row r="2279" spans="1:4">
      <c r="A2279" s="107">
        <v>1</v>
      </c>
      <c r="B2279" s="1324"/>
      <c r="C2279" t="s">
        <v>446</v>
      </c>
      <c r="D2279" s="113">
        <v>85426.7</v>
      </c>
    </row>
    <row r="2280" spans="1:4">
      <c r="A2280" s="107">
        <v>1</v>
      </c>
      <c r="B2280" s="1324"/>
      <c r="C2280" t="s">
        <v>1253</v>
      </c>
      <c r="D2280" s="113">
        <v>0</v>
      </c>
    </row>
    <row r="2281" spans="1:4">
      <c r="A2281" s="107">
        <v>1</v>
      </c>
      <c r="B2281" s="1325"/>
      <c r="C2281" t="s">
        <v>421</v>
      </c>
      <c r="D2281" s="113">
        <v>0</v>
      </c>
    </row>
    <row r="2282" spans="1:4" ht="12.75" customHeight="1">
      <c r="A2282" s="107">
        <v>1</v>
      </c>
      <c r="B2282" s="1323" t="s">
        <v>1129</v>
      </c>
      <c r="C2282" t="s">
        <v>444</v>
      </c>
      <c r="D2282" s="113">
        <v>449331.3</v>
      </c>
    </row>
    <row r="2283" spans="1:4">
      <c r="A2283" s="107">
        <v>1</v>
      </c>
      <c r="B2283" s="1324"/>
      <c r="C2283" t="s">
        <v>445</v>
      </c>
      <c r="D2283" s="113">
        <v>0</v>
      </c>
    </row>
    <row r="2284" spans="1:4">
      <c r="A2284" s="107">
        <v>1</v>
      </c>
      <c r="B2284" s="1324"/>
      <c r="C2284" t="s">
        <v>446</v>
      </c>
      <c r="D2284" s="113">
        <v>14987</v>
      </c>
    </row>
    <row r="2285" spans="1:4">
      <c r="A2285" s="107">
        <v>1</v>
      </c>
      <c r="B2285" s="1324"/>
      <c r="C2285" t="s">
        <v>1253</v>
      </c>
      <c r="D2285" s="113">
        <v>0</v>
      </c>
    </row>
    <row r="2286" spans="1:4">
      <c r="A2286" s="107">
        <v>1</v>
      </c>
      <c r="B2286" s="1325"/>
      <c r="C2286" t="s">
        <v>421</v>
      </c>
      <c r="D2286" s="113">
        <v>38620.199999999997</v>
      </c>
    </row>
    <row r="2287" spans="1:4" ht="12.75" customHeight="1">
      <c r="A2287" s="107">
        <v>2</v>
      </c>
      <c r="B2287" s="1323" t="s">
        <v>1130</v>
      </c>
      <c r="C2287" t="s">
        <v>444</v>
      </c>
      <c r="D2287" s="113">
        <v>0</v>
      </c>
    </row>
    <row r="2288" spans="1:4">
      <c r="A2288" s="107">
        <v>2</v>
      </c>
      <c r="B2288" s="1324"/>
      <c r="C2288" t="s">
        <v>445</v>
      </c>
      <c r="D2288" s="113">
        <v>0</v>
      </c>
    </row>
    <row r="2289" spans="1:4">
      <c r="A2289" s="107">
        <v>2</v>
      </c>
      <c r="B2289" s="1324"/>
      <c r="C2289" t="s">
        <v>446</v>
      </c>
      <c r="D2289" s="113">
        <v>26964.3</v>
      </c>
    </row>
    <row r="2290" spans="1:4">
      <c r="A2290" s="107">
        <v>2</v>
      </c>
      <c r="B2290" s="1324"/>
      <c r="C2290" t="s">
        <v>1253</v>
      </c>
      <c r="D2290" s="113">
        <v>0</v>
      </c>
    </row>
    <row r="2291" spans="1:4" ht="13.5" customHeight="1">
      <c r="A2291" s="107">
        <v>2</v>
      </c>
      <c r="B2291" s="1325"/>
      <c r="C2291" t="s">
        <v>421</v>
      </c>
      <c r="D2291" s="113">
        <v>0</v>
      </c>
    </row>
    <row r="2292" spans="1:4" ht="12.75" customHeight="1">
      <c r="A2292" s="107">
        <v>2</v>
      </c>
      <c r="B2292" s="1323" t="s">
        <v>1131</v>
      </c>
      <c r="C2292" t="s">
        <v>444</v>
      </c>
      <c r="D2292" s="113">
        <v>0</v>
      </c>
    </row>
    <row r="2293" spans="1:4">
      <c r="A2293" s="107">
        <v>2</v>
      </c>
      <c r="B2293" s="1324"/>
      <c r="C2293" t="s">
        <v>445</v>
      </c>
      <c r="D2293" s="113">
        <v>0</v>
      </c>
    </row>
    <row r="2294" spans="1:4">
      <c r="A2294" s="107">
        <v>2</v>
      </c>
      <c r="B2294" s="1324"/>
      <c r="C2294" t="s">
        <v>446</v>
      </c>
      <c r="D2294" s="113">
        <v>48330.9</v>
      </c>
    </row>
    <row r="2295" spans="1:4">
      <c r="A2295" s="107">
        <v>2</v>
      </c>
      <c r="B2295" s="1324"/>
      <c r="C2295" t="s">
        <v>1253</v>
      </c>
      <c r="D2295" s="113">
        <v>0</v>
      </c>
    </row>
    <row r="2296" spans="1:4">
      <c r="A2296" s="107">
        <v>2</v>
      </c>
      <c r="B2296" s="1325"/>
      <c r="C2296" t="s">
        <v>421</v>
      </c>
      <c r="D2296" s="113">
        <v>0</v>
      </c>
    </row>
    <row r="2297" spans="1:4" ht="12.75" customHeight="1">
      <c r="A2297" s="107">
        <v>1</v>
      </c>
      <c r="B2297" s="1323" t="s">
        <v>1132</v>
      </c>
      <c r="C2297" t="s">
        <v>444</v>
      </c>
      <c r="D2297" s="113">
        <v>464791.7</v>
      </c>
    </row>
    <row r="2298" spans="1:4">
      <c r="A2298" s="107">
        <v>1</v>
      </c>
      <c r="B2298" s="1324"/>
      <c r="C2298" t="s">
        <v>445</v>
      </c>
      <c r="D2298" s="113">
        <v>0</v>
      </c>
    </row>
    <row r="2299" spans="1:4">
      <c r="A2299" s="107">
        <v>1</v>
      </c>
      <c r="B2299" s="1324"/>
      <c r="C2299" t="s">
        <v>446</v>
      </c>
      <c r="D2299" s="113">
        <v>42268.2</v>
      </c>
    </row>
    <row r="2300" spans="1:4">
      <c r="A2300" s="107">
        <v>1</v>
      </c>
      <c r="B2300" s="1324"/>
      <c r="C2300" t="s">
        <v>1253</v>
      </c>
      <c r="D2300" s="113">
        <v>0</v>
      </c>
    </row>
    <row r="2301" spans="1:4">
      <c r="A2301" s="107">
        <v>1</v>
      </c>
      <c r="B2301" s="1325"/>
      <c r="C2301" t="s">
        <v>421</v>
      </c>
      <c r="D2301" s="113">
        <v>2945.2</v>
      </c>
    </row>
    <row r="2302" spans="1:4" ht="12.75" customHeight="1">
      <c r="A2302" s="107">
        <v>2</v>
      </c>
      <c r="B2302" s="1323" t="s">
        <v>1133</v>
      </c>
      <c r="C2302" t="s">
        <v>444</v>
      </c>
      <c r="D2302" s="113">
        <v>0</v>
      </c>
    </row>
    <row r="2303" spans="1:4">
      <c r="A2303" s="107">
        <v>2</v>
      </c>
      <c r="B2303" s="1324"/>
      <c r="C2303" t="s">
        <v>445</v>
      </c>
      <c r="D2303" s="113">
        <v>0</v>
      </c>
    </row>
    <row r="2304" spans="1:4">
      <c r="A2304" s="107">
        <v>2</v>
      </c>
      <c r="B2304" s="1324"/>
      <c r="C2304" t="s">
        <v>446</v>
      </c>
      <c r="D2304" s="113">
        <v>24257.3</v>
      </c>
    </row>
    <row r="2305" spans="1:4">
      <c r="A2305" s="107">
        <v>2</v>
      </c>
      <c r="B2305" s="1324"/>
      <c r="C2305" t="s">
        <v>1253</v>
      </c>
      <c r="D2305" s="113">
        <v>0</v>
      </c>
    </row>
    <row r="2306" spans="1:4">
      <c r="A2306" s="107">
        <v>2</v>
      </c>
      <c r="B2306" s="1325"/>
      <c r="C2306" t="s">
        <v>421</v>
      </c>
      <c r="D2306" s="113">
        <v>0</v>
      </c>
    </row>
    <row r="2307" spans="1:4" ht="12.75" customHeight="1">
      <c r="A2307" s="107">
        <v>4</v>
      </c>
      <c r="B2307" s="1323" t="s">
        <v>1134</v>
      </c>
      <c r="C2307" t="s">
        <v>444</v>
      </c>
      <c r="D2307" s="113">
        <v>994412.2</v>
      </c>
    </row>
    <row r="2308" spans="1:4">
      <c r="A2308" s="107">
        <v>4</v>
      </c>
      <c r="B2308" s="1324"/>
      <c r="C2308" t="s">
        <v>445</v>
      </c>
      <c r="D2308" s="113">
        <v>24533.599999999999</v>
      </c>
    </row>
    <row r="2309" spans="1:4">
      <c r="A2309" s="107">
        <v>4</v>
      </c>
      <c r="B2309" s="1324"/>
      <c r="C2309" t="s">
        <v>446</v>
      </c>
      <c r="D2309" s="113">
        <v>52408.7</v>
      </c>
    </row>
    <row r="2310" spans="1:4">
      <c r="A2310" s="107">
        <v>4</v>
      </c>
      <c r="B2310" s="1324"/>
      <c r="C2310" t="s">
        <v>1253</v>
      </c>
      <c r="D2310" s="113">
        <v>0</v>
      </c>
    </row>
    <row r="2311" spans="1:4">
      <c r="A2311" s="107">
        <v>4</v>
      </c>
      <c r="B2311" s="1325"/>
      <c r="C2311" t="s">
        <v>421</v>
      </c>
      <c r="D2311" s="113">
        <v>10768.4</v>
      </c>
    </row>
    <row r="2312" spans="1:4" ht="12.75" customHeight="1">
      <c r="A2312" s="107">
        <v>3</v>
      </c>
      <c r="B2312" s="1323" t="s">
        <v>1135</v>
      </c>
      <c r="C2312" t="s">
        <v>444</v>
      </c>
      <c r="D2312" s="113">
        <v>32772</v>
      </c>
    </row>
    <row r="2313" spans="1:4">
      <c r="A2313" s="107">
        <v>3</v>
      </c>
      <c r="B2313" s="1324"/>
      <c r="C2313" t="s">
        <v>445</v>
      </c>
      <c r="D2313" s="113">
        <v>0</v>
      </c>
    </row>
    <row r="2314" spans="1:4">
      <c r="A2314" s="107">
        <v>3</v>
      </c>
      <c r="B2314" s="1324"/>
      <c r="C2314" t="s">
        <v>446</v>
      </c>
      <c r="D2314" s="113">
        <v>21528</v>
      </c>
    </row>
    <row r="2315" spans="1:4">
      <c r="A2315" s="107">
        <v>3</v>
      </c>
      <c r="B2315" s="1324"/>
      <c r="C2315" t="s">
        <v>1253</v>
      </c>
      <c r="D2315" s="113">
        <v>0</v>
      </c>
    </row>
    <row r="2316" spans="1:4">
      <c r="A2316" s="107">
        <v>3</v>
      </c>
      <c r="B2316" s="1325"/>
      <c r="C2316" t="s">
        <v>421</v>
      </c>
      <c r="D2316" s="113">
        <v>0</v>
      </c>
    </row>
    <row r="2317" spans="1:4" ht="12.75" customHeight="1">
      <c r="A2317" s="107">
        <v>4</v>
      </c>
      <c r="B2317" s="1323" t="s">
        <v>1136</v>
      </c>
      <c r="C2317" t="s">
        <v>444</v>
      </c>
      <c r="D2317" s="113">
        <v>360441</v>
      </c>
    </row>
    <row r="2318" spans="1:4">
      <c r="A2318" s="107">
        <v>4</v>
      </c>
      <c r="B2318" s="1324"/>
      <c r="C2318" t="s">
        <v>445</v>
      </c>
      <c r="D2318" s="113">
        <v>0</v>
      </c>
    </row>
    <row r="2319" spans="1:4">
      <c r="A2319" s="107">
        <v>4</v>
      </c>
      <c r="B2319" s="1324"/>
      <c r="C2319" t="s">
        <v>446</v>
      </c>
      <c r="D2319" s="113">
        <v>2336.1</v>
      </c>
    </row>
    <row r="2320" spans="1:4">
      <c r="A2320" s="107">
        <v>4</v>
      </c>
      <c r="B2320" s="1324"/>
      <c r="C2320" t="s">
        <v>1253</v>
      </c>
      <c r="D2320" s="113">
        <v>0</v>
      </c>
    </row>
    <row r="2321" spans="1:4">
      <c r="A2321" s="107">
        <v>4</v>
      </c>
      <c r="B2321" s="1325"/>
      <c r="C2321" t="s">
        <v>421</v>
      </c>
      <c r="D2321" s="113">
        <v>0</v>
      </c>
    </row>
    <row r="2322" spans="1:4" ht="12.75" customHeight="1">
      <c r="A2322" s="107">
        <v>4</v>
      </c>
      <c r="B2322" s="1323" t="s">
        <v>1137</v>
      </c>
      <c r="C2322" t="s">
        <v>444</v>
      </c>
      <c r="D2322" s="113">
        <v>479674.5</v>
      </c>
    </row>
    <row r="2323" spans="1:4">
      <c r="A2323" s="107">
        <v>4</v>
      </c>
      <c r="B2323" s="1324"/>
      <c r="C2323" t="s">
        <v>445</v>
      </c>
      <c r="D2323" s="113">
        <v>0</v>
      </c>
    </row>
    <row r="2324" spans="1:4">
      <c r="A2324" s="107">
        <v>4</v>
      </c>
      <c r="B2324" s="1324"/>
      <c r="C2324" t="s">
        <v>446</v>
      </c>
      <c r="D2324" s="113">
        <v>5380.8</v>
      </c>
    </row>
    <row r="2325" spans="1:4">
      <c r="A2325" s="107">
        <v>4</v>
      </c>
      <c r="B2325" s="1324"/>
      <c r="C2325" t="s">
        <v>1253</v>
      </c>
      <c r="D2325" s="113">
        <v>0</v>
      </c>
    </row>
    <row r="2326" spans="1:4">
      <c r="A2326" s="107">
        <v>4</v>
      </c>
      <c r="B2326" s="1325"/>
      <c r="C2326" t="s">
        <v>421</v>
      </c>
      <c r="D2326" s="113">
        <v>12295.5</v>
      </c>
    </row>
    <row r="2327" spans="1:4">
      <c r="A2327" s="107">
        <v>1</v>
      </c>
      <c r="B2327" s="1323" t="s">
        <v>1138</v>
      </c>
      <c r="C2327" t="s">
        <v>444</v>
      </c>
      <c r="D2327" s="113">
        <v>88314.7</v>
      </c>
    </row>
    <row r="2328" spans="1:4">
      <c r="A2328" s="107">
        <v>1</v>
      </c>
      <c r="B2328" s="1324"/>
      <c r="C2328" t="s">
        <v>445</v>
      </c>
      <c r="D2328" s="113">
        <v>0</v>
      </c>
    </row>
    <row r="2329" spans="1:4">
      <c r="A2329" s="107">
        <v>1</v>
      </c>
      <c r="B2329" s="1324"/>
      <c r="C2329" t="s">
        <v>446</v>
      </c>
      <c r="D2329" s="113">
        <v>0</v>
      </c>
    </row>
    <row r="2330" spans="1:4">
      <c r="A2330" s="107">
        <v>1</v>
      </c>
      <c r="B2330" s="1324"/>
      <c r="C2330" t="s">
        <v>1253</v>
      </c>
      <c r="D2330" s="113">
        <v>0</v>
      </c>
    </row>
    <row r="2331" spans="1:4">
      <c r="A2331" s="107">
        <v>1</v>
      </c>
      <c r="B2331" s="1325"/>
      <c r="C2331" t="s">
        <v>421</v>
      </c>
      <c r="D2331" s="113">
        <v>0</v>
      </c>
    </row>
    <row r="2332" spans="1:4">
      <c r="A2332" s="107">
        <v>2</v>
      </c>
      <c r="B2332" s="1323" t="s">
        <v>1139</v>
      </c>
      <c r="C2332" t="s">
        <v>444</v>
      </c>
      <c r="D2332" s="113">
        <v>0</v>
      </c>
    </row>
    <row r="2333" spans="1:4">
      <c r="A2333" s="107">
        <v>2</v>
      </c>
      <c r="B2333" s="1324"/>
      <c r="C2333" t="s">
        <v>445</v>
      </c>
      <c r="D2333" s="113">
        <v>0</v>
      </c>
    </row>
    <row r="2334" spans="1:4">
      <c r="A2334" s="107">
        <v>2</v>
      </c>
      <c r="B2334" s="1324"/>
      <c r="C2334" t="s">
        <v>446</v>
      </c>
      <c r="D2334" s="113">
        <v>141879.1</v>
      </c>
    </row>
    <row r="2335" spans="1:4">
      <c r="A2335" s="107">
        <v>2</v>
      </c>
      <c r="B2335" s="1324"/>
      <c r="C2335" t="s">
        <v>1253</v>
      </c>
      <c r="D2335" s="113">
        <v>0</v>
      </c>
    </row>
    <row r="2336" spans="1:4">
      <c r="A2336" s="107">
        <v>2</v>
      </c>
      <c r="B2336" s="1325"/>
      <c r="C2336" t="s">
        <v>421</v>
      </c>
      <c r="D2336" s="113">
        <v>0</v>
      </c>
    </row>
    <row r="2337" spans="1:4">
      <c r="A2337" s="107">
        <v>1</v>
      </c>
      <c r="B2337" s="1323" t="s">
        <v>1140</v>
      </c>
      <c r="C2337" t="s">
        <v>444</v>
      </c>
      <c r="D2337" s="113">
        <v>11160.8</v>
      </c>
    </row>
    <row r="2338" spans="1:4">
      <c r="A2338" s="107">
        <v>1</v>
      </c>
      <c r="B2338" s="1324"/>
      <c r="C2338" t="s">
        <v>445</v>
      </c>
      <c r="D2338" s="113">
        <v>0</v>
      </c>
    </row>
    <row r="2339" spans="1:4">
      <c r="A2339" s="107">
        <v>1</v>
      </c>
      <c r="B2339" s="1324"/>
      <c r="C2339" t="s">
        <v>446</v>
      </c>
      <c r="D2339" s="113">
        <v>3307.4</v>
      </c>
    </row>
    <row r="2340" spans="1:4">
      <c r="A2340" s="107">
        <v>1</v>
      </c>
      <c r="B2340" s="1324"/>
      <c r="C2340" t="s">
        <v>1253</v>
      </c>
      <c r="D2340" s="113">
        <v>0</v>
      </c>
    </row>
    <row r="2341" spans="1:4">
      <c r="A2341" s="107">
        <v>1</v>
      </c>
      <c r="B2341" s="1325"/>
      <c r="C2341" t="s">
        <v>421</v>
      </c>
      <c r="D2341" s="113">
        <v>0</v>
      </c>
    </row>
    <row r="2342" spans="1:4" ht="12.75" customHeight="1">
      <c r="A2342" s="107">
        <v>1</v>
      </c>
      <c r="B2342" s="1323" t="s">
        <v>1141</v>
      </c>
      <c r="C2342" t="s">
        <v>444</v>
      </c>
      <c r="D2342" s="113">
        <v>85637.3</v>
      </c>
    </row>
    <row r="2343" spans="1:4">
      <c r="A2343" s="107">
        <v>1</v>
      </c>
      <c r="B2343" s="1324"/>
      <c r="C2343" t="s">
        <v>445</v>
      </c>
      <c r="D2343" s="113">
        <v>0</v>
      </c>
    </row>
    <row r="2344" spans="1:4">
      <c r="A2344" s="107">
        <v>1</v>
      </c>
      <c r="B2344" s="1324"/>
      <c r="C2344" t="s">
        <v>446</v>
      </c>
      <c r="D2344" s="113">
        <v>0</v>
      </c>
    </row>
    <row r="2345" spans="1:4">
      <c r="A2345" s="107">
        <v>1</v>
      </c>
      <c r="B2345" s="1324"/>
      <c r="C2345" t="s">
        <v>1253</v>
      </c>
      <c r="D2345" s="113">
        <v>0</v>
      </c>
    </row>
    <row r="2346" spans="1:4">
      <c r="A2346" s="107">
        <v>1</v>
      </c>
      <c r="B2346" s="1325"/>
      <c r="C2346" t="s">
        <v>421</v>
      </c>
      <c r="D2346" s="113">
        <v>0</v>
      </c>
    </row>
    <row r="2347" spans="1:4" ht="12.75" customHeight="1">
      <c r="A2347" s="107">
        <v>10</v>
      </c>
      <c r="B2347" s="1323" t="s">
        <v>1142</v>
      </c>
      <c r="C2347" t="s">
        <v>444</v>
      </c>
      <c r="D2347" s="113">
        <v>0</v>
      </c>
    </row>
    <row r="2348" spans="1:4">
      <c r="A2348" s="107">
        <v>10</v>
      </c>
      <c r="B2348" s="1324"/>
      <c r="C2348" t="s">
        <v>445</v>
      </c>
      <c r="D2348" s="113">
        <v>0</v>
      </c>
    </row>
    <row r="2349" spans="1:4">
      <c r="A2349" s="107">
        <v>10</v>
      </c>
      <c r="B2349" s="1324"/>
      <c r="C2349" t="s">
        <v>446</v>
      </c>
      <c r="D2349" s="113">
        <v>119372.8</v>
      </c>
    </row>
    <row r="2350" spans="1:4">
      <c r="A2350" s="107">
        <v>10</v>
      </c>
      <c r="B2350" s="1324"/>
      <c r="C2350" t="s">
        <v>1253</v>
      </c>
      <c r="D2350" s="113">
        <v>0</v>
      </c>
    </row>
    <row r="2351" spans="1:4">
      <c r="A2351" s="107">
        <v>10</v>
      </c>
      <c r="B2351" s="1325"/>
      <c r="C2351" t="s">
        <v>421</v>
      </c>
      <c r="D2351" s="113">
        <v>0</v>
      </c>
    </row>
    <row r="2352" spans="1:4">
      <c r="A2352" s="107">
        <v>1</v>
      </c>
      <c r="B2352" s="1323" t="s">
        <v>1556</v>
      </c>
      <c r="C2352" t="s">
        <v>444</v>
      </c>
      <c r="D2352" s="113">
        <v>0</v>
      </c>
    </row>
    <row r="2353" spans="1:4">
      <c r="A2353" s="107">
        <v>1</v>
      </c>
      <c r="B2353" s="1324"/>
      <c r="C2353" t="s">
        <v>445</v>
      </c>
      <c r="D2353" s="113">
        <v>0</v>
      </c>
    </row>
    <row r="2354" spans="1:4">
      <c r="A2354" s="107">
        <v>1</v>
      </c>
      <c r="B2354" s="1324"/>
      <c r="C2354" t="s">
        <v>446</v>
      </c>
      <c r="D2354" s="113">
        <v>0</v>
      </c>
    </row>
    <row r="2355" spans="1:4">
      <c r="A2355" s="107">
        <v>1</v>
      </c>
      <c r="B2355" s="1324"/>
      <c r="C2355" t="s">
        <v>1253</v>
      </c>
      <c r="D2355" s="113">
        <v>0</v>
      </c>
    </row>
    <row r="2356" spans="1:4">
      <c r="A2356" s="107">
        <v>1</v>
      </c>
      <c r="B2356" s="1325"/>
      <c r="C2356" t="s">
        <v>421</v>
      </c>
      <c r="D2356" s="113">
        <v>0</v>
      </c>
    </row>
    <row r="2357" spans="1:4" ht="12.75" customHeight="1">
      <c r="A2357" s="107">
        <v>1</v>
      </c>
      <c r="B2357" s="1323" t="s">
        <v>1143</v>
      </c>
      <c r="C2357" t="s">
        <v>444</v>
      </c>
      <c r="D2357" s="225">
        <v>443862.7</v>
      </c>
    </row>
    <row r="2358" spans="1:4">
      <c r="A2358" s="107">
        <v>1</v>
      </c>
      <c r="B2358" s="1324"/>
      <c r="C2358" t="s">
        <v>445</v>
      </c>
      <c r="D2358" s="225">
        <v>4950.3</v>
      </c>
    </row>
    <row r="2359" spans="1:4">
      <c r="A2359" s="107">
        <v>1</v>
      </c>
      <c r="B2359" s="1324"/>
      <c r="C2359" t="s">
        <v>446</v>
      </c>
      <c r="D2359" s="225">
        <v>51985.9</v>
      </c>
    </row>
    <row r="2360" spans="1:4">
      <c r="A2360" s="107">
        <v>1</v>
      </c>
      <c r="B2360" s="1324"/>
      <c r="C2360" t="s">
        <v>1253</v>
      </c>
      <c r="D2360" s="225">
        <v>0</v>
      </c>
    </row>
    <row r="2361" spans="1:4">
      <c r="A2361" s="107">
        <v>1</v>
      </c>
      <c r="B2361" s="1325"/>
      <c r="C2361" t="s">
        <v>421</v>
      </c>
      <c r="D2361" s="225">
        <v>37656.199999999997</v>
      </c>
    </row>
    <row r="2362" spans="1:4" ht="12.75" customHeight="1">
      <c r="A2362" s="107">
        <v>2</v>
      </c>
      <c r="B2362" s="1323" t="s">
        <v>1144</v>
      </c>
      <c r="C2362" t="s">
        <v>444</v>
      </c>
      <c r="D2362" s="225">
        <v>0</v>
      </c>
    </row>
    <row r="2363" spans="1:4">
      <c r="A2363" s="107">
        <v>2</v>
      </c>
      <c r="B2363" s="1324"/>
      <c r="C2363" t="s">
        <v>445</v>
      </c>
      <c r="D2363" s="225">
        <v>0</v>
      </c>
    </row>
    <row r="2364" spans="1:4" ht="18.75" customHeight="1">
      <c r="A2364" s="107">
        <v>2</v>
      </c>
      <c r="B2364" s="1324"/>
      <c r="C2364" t="s">
        <v>446</v>
      </c>
      <c r="D2364" s="225">
        <v>34206.300000000003</v>
      </c>
    </row>
    <row r="2365" spans="1:4">
      <c r="A2365" s="107">
        <v>2</v>
      </c>
      <c r="B2365" s="1324"/>
      <c r="C2365" t="s">
        <v>1253</v>
      </c>
      <c r="D2365" s="225">
        <v>0</v>
      </c>
    </row>
    <row r="2366" spans="1:4">
      <c r="A2366" s="107">
        <v>2</v>
      </c>
      <c r="B2366" s="1325"/>
      <c r="C2366" t="s">
        <v>421</v>
      </c>
      <c r="D2366" s="225">
        <v>0</v>
      </c>
    </row>
    <row r="2367" spans="1:4" ht="12.75" customHeight="1">
      <c r="A2367" s="107">
        <v>2</v>
      </c>
      <c r="B2367" s="1323" t="s">
        <v>1145</v>
      </c>
      <c r="C2367" t="s">
        <v>444</v>
      </c>
      <c r="D2367" s="225">
        <v>0</v>
      </c>
    </row>
    <row r="2368" spans="1:4">
      <c r="A2368" s="107">
        <v>2</v>
      </c>
      <c r="B2368" s="1324"/>
      <c r="C2368" t="s">
        <v>445</v>
      </c>
      <c r="D2368" s="225">
        <v>0</v>
      </c>
    </row>
    <row r="2369" spans="1:4">
      <c r="A2369" s="107">
        <v>2</v>
      </c>
      <c r="B2369" s="1324"/>
      <c r="C2369" t="s">
        <v>446</v>
      </c>
      <c r="D2369" s="225">
        <v>26677</v>
      </c>
    </row>
    <row r="2370" spans="1:4">
      <c r="A2370" s="107">
        <v>2</v>
      </c>
      <c r="B2370" s="1324"/>
      <c r="C2370" t="s">
        <v>1253</v>
      </c>
      <c r="D2370" s="225">
        <v>0</v>
      </c>
    </row>
    <row r="2371" spans="1:4">
      <c r="A2371" s="107">
        <v>2</v>
      </c>
      <c r="B2371" s="1325"/>
      <c r="C2371" t="s">
        <v>421</v>
      </c>
      <c r="D2371" s="225">
        <v>0</v>
      </c>
    </row>
    <row r="2372" spans="1:4" ht="12.75" customHeight="1">
      <c r="A2372" s="107">
        <v>2</v>
      </c>
      <c r="B2372" s="1323" t="s">
        <v>1146</v>
      </c>
      <c r="C2372" t="s">
        <v>444</v>
      </c>
      <c r="D2372" s="225">
        <v>0</v>
      </c>
    </row>
    <row r="2373" spans="1:4">
      <c r="A2373" s="107">
        <v>2</v>
      </c>
      <c r="B2373" s="1324"/>
      <c r="C2373" t="s">
        <v>445</v>
      </c>
      <c r="D2373" s="225">
        <v>0</v>
      </c>
    </row>
    <row r="2374" spans="1:4">
      <c r="A2374" s="107">
        <v>2</v>
      </c>
      <c r="B2374" s="1324"/>
      <c r="C2374" t="s">
        <v>446</v>
      </c>
      <c r="D2374" s="225">
        <v>24437.200000000001</v>
      </c>
    </row>
    <row r="2375" spans="1:4">
      <c r="A2375" s="107">
        <v>2</v>
      </c>
      <c r="B2375" s="1324"/>
      <c r="C2375" t="s">
        <v>1253</v>
      </c>
      <c r="D2375" s="225">
        <v>0</v>
      </c>
    </row>
    <row r="2376" spans="1:4">
      <c r="A2376" s="107">
        <v>2</v>
      </c>
      <c r="B2376" s="1325"/>
      <c r="C2376" t="s">
        <v>421</v>
      </c>
      <c r="D2376" s="225">
        <v>0</v>
      </c>
    </row>
    <row r="2377" spans="1:4" ht="12.75" customHeight="1">
      <c r="A2377" s="107">
        <v>2</v>
      </c>
      <c r="B2377" s="1323" t="s">
        <v>1147</v>
      </c>
      <c r="C2377" t="s">
        <v>444</v>
      </c>
      <c r="D2377" s="225">
        <v>0</v>
      </c>
    </row>
    <row r="2378" spans="1:4">
      <c r="A2378" s="107">
        <v>2</v>
      </c>
      <c r="B2378" s="1324"/>
      <c r="C2378" t="s">
        <v>445</v>
      </c>
      <c r="D2378" s="225">
        <v>0</v>
      </c>
    </row>
    <row r="2379" spans="1:4">
      <c r="A2379" s="107">
        <v>2</v>
      </c>
      <c r="B2379" s="1324"/>
      <c r="C2379" t="s">
        <v>446</v>
      </c>
      <c r="D2379" s="225">
        <v>26845.599999999999</v>
      </c>
    </row>
    <row r="2380" spans="1:4">
      <c r="A2380" s="107">
        <v>2</v>
      </c>
      <c r="B2380" s="1324"/>
      <c r="C2380" t="s">
        <v>1253</v>
      </c>
      <c r="D2380" s="225">
        <v>0</v>
      </c>
    </row>
    <row r="2381" spans="1:4">
      <c r="A2381" s="107">
        <v>2</v>
      </c>
      <c r="B2381" s="1325"/>
      <c r="C2381" t="s">
        <v>421</v>
      </c>
      <c r="D2381" s="225">
        <v>0</v>
      </c>
    </row>
    <row r="2382" spans="1:4" ht="12.75" customHeight="1">
      <c r="A2382" s="107">
        <v>2</v>
      </c>
      <c r="B2382" s="1323" t="s">
        <v>1148</v>
      </c>
      <c r="C2382" t="s">
        <v>444</v>
      </c>
      <c r="D2382" s="225">
        <v>0</v>
      </c>
    </row>
    <row r="2383" spans="1:4">
      <c r="A2383" s="107">
        <v>2</v>
      </c>
      <c r="B2383" s="1324"/>
      <c r="C2383" t="s">
        <v>445</v>
      </c>
      <c r="D2383" s="225">
        <v>0</v>
      </c>
    </row>
    <row r="2384" spans="1:4">
      <c r="A2384" s="107">
        <v>2</v>
      </c>
      <c r="B2384" s="1324"/>
      <c r="C2384" t="s">
        <v>446</v>
      </c>
      <c r="D2384" s="225">
        <v>38940</v>
      </c>
    </row>
    <row r="2385" spans="1:4">
      <c r="A2385" s="107">
        <v>2</v>
      </c>
      <c r="B2385" s="1324"/>
      <c r="C2385" t="s">
        <v>1253</v>
      </c>
      <c r="D2385" s="225">
        <v>0</v>
      </c>
    </row>
    <row r="2386" spans="1:4">
      <c r="A2386" s="107">
        <v>2</v>
      </c>
      <c r="B2386" s="1325"/>
      <c r="C2386" t="s">
        <v>421</v>
      </c>
      <c r="D2386" s="225">
        <v>0</v>
      </c>
    </row>
    <row r="2387" spans="1:4" ht="12.75" customHeight="1">
      <c r="A2387" s="107">
        <v>1</v>
      </c>
      <c r="B2387" s="1323" t="s">
        <v>1149</v>
      </c>
      <c r="C2387" t="s">
        <v>444</v>
      </c>
      <c r="D2387" s="225">
        <v>805501</v>
      </c>
    </row>
    <row r="2388" spans="1:4">
      <c r="A2388" s="107">
        <v>1</v>
      </c>
      <c r="B2388" s="1324"/>
      <c r="C2388" t="s">
        <v>445</v>
      </c>
      <c r="D2388" s="225">
        <v>5553</v>
      </c>
    </row>
    <row r="2389" spans="1:4">
      <c r="A2389" s="107">
        <v>1</v>
      </c>
      <c r="B2389" s="1324"/>
      <c r="C2389" t="s">
        <v>446</v>
      </c>
      <c r="D2389" s="225">
        <v>39416.5</v>
      </c>
    </row>
    <row r="2390" spans="1:4">
      <c r="A2390" s="107">
        <v>1</v>
      </c>
      <c r="B2390" s="1324"/>
      <c r="C2390" t="s">
        <v>1253</v>
      </c>
      <c r="D2390" s="225">
        <v>0</v>
      </c>
    </row>
    <row r="2391" spans="1:4">
      <c r="A2391" s="107">
        <v>1</v>
      </c>
      <c r="B2391" s="1325"/>
      <c r="C2391" t="s">
        <v>421</v>
      </c>
      <c r="D2391" s="225">
        <v>38634.699999999997</v>
      </c>
    </row>
    <row r="2392" spans="1:4" ht="12.75" customHeight="1">
      <c r="A2392" s="107">
        <v>4</v>
      </c>
      <c r="B2392" s="1323" t="s">
        <v>1150</v>
      </c>
      <c r="C2392" t="s">
        <v>444</v>
      </c>
      <c r="D2392" s="225">
        <v>1125139.1000000001</v>
      </c>
    </row>
    <row r="2393" spans="1:4">
      <c r="A2393" s="107">
        <v>4</v>
      </c>
      <c r="B2393" s="1324"/>
      <c r="C2393" t="s">
        <v>445</v>
      </c>
      <c r="D2393" s="225">
        <v>0</v>
      </c>
    </row>
    <row r="2394" spans="1:4">
      <c r="A2394" s="107">
        <v>4</v>
      </c>
      <c r="B2394" s="1324"/>
      <c r="C2394" t="s">
        <v>446</v>
      </c>
      <c r="D2394" s="225">
        <v>0</v>
      </c>
    </row>
    <row r="2395" spans="1:4">
      <c r="A2395" s="107">
        <v>4</v>
      </c>
      <c r="B2395" s="1324"/>
      <c r="C2395" t="s">
        <v>1253</v>
      </c>
      <c r="D2395" s="225">
        <v>2</v>
      </c>
    </row>
    <row r="2396" spans="1:4">
      <c r="A2396" s="107">
        <v>4</v>
      </c>
      <c r="B2396" s="1325"/>
      <c r="C2396" t="s">
        <v>421</v>
      </c>
      <c r="D2396" s="225">
        <v>45811.4</v>
      </c>
    </row>
    <row r="2397" spans="1:4" ht="12.75" customHeight="1">
      <c r="A2397" s="107">
        <v>2</v>
      </c>
      <c r="B2397" s="1323" t="s">
        <v>1151</v>
      </c>
      <c r="C2397" t="s">
        <v>444</v>
      </c>
      <c r="D2397" s="225">
        <v>0</v>
      </c>
    </row>
    <row r="2398" spans="1:4">
      <c r="A2398" s="107">
        <v>2</v>
      </c>
      <c r="B2398" s="1324"/>
      <c r="C2398" t="s">
        <v>445</v>
      </c>
      <c r="D2398" s="225">
        <v>0</v>
      </c>
    </row>
    <row r="2399" spans="1:4">
      <c r="A2399" s="107">
        <v>2</v>
      </c>
      <c r="B2399" s="1324"/>
      <c r="C2399" t="s">
        <v>446</v>
      </c>
      <c r="D2399" s="225">
        <v>44538.9</v>
      </c>
    </row>
    <row r="2400" spans="1:4" ht="12" customHeight="1">
      <c r="A2400" s="107">
        <v>2</v>
      </c>
      <c r="B2400" s="1324"/>
      <c r="C2400" t="s">
        <v>1253</v>
      </c>
      <c r="D2400" s="225">
        <v>0</v>
      </c>
    </row>
    <row r="2401" spans="1:4" ht="15.75" customHeight="1">
      <c r="A2401" s="107">
        <v>2</v>
      </c>
      <c r="B2401" s="1325"/>
      <c r="C2401" t="s">
        <v>421</v>
      </c>
      <c r="D2401" s="225">
        <v>0</v>
      </c>
    </row>
    <row r="2402" spans="1:4" ht="12.75" customHeight="1">
      <c r="A2402" s="107">
        <v>1</v>
      </c>
      <c r="B2402" s="1323" t="s">
        <v>1152</v>
      </c>
      <c r="C2402" t="s">
        <v>444</v>
      </c>
      <c r="D2402" s="225">
        <v>1317973.3</v>
      </c>
    </row>
    <row r="2403" spans="1:4">
      <c r="A2403" s="107">
        <v>1</v>
      </c>
      <c r="B2403" s="1324"/>
      <c r="C2403" t="s">
        <v>445</v>
      </c>
      <c r="D2403" s="225">
        <v>275844</v>
      </c>
    </row>
    <row r="2404" spans="1:4">
      <c r="A2404" s="107">
        <v>1</v>
      </c>
      <c r="B2404" s="1324"/>
      <c r="C2404" t="s">
        <v>446</v>
      </c>
      <c r="D2404" s="225">
        <v>173518.1</v>
      </c>
    </row>
    <row r="2405" spans="1:4">
      <c r="A2405" s="107">
        <v>1</v>
      </c>
      <c r="B2405" s="1324"/>
      <c r="C2405" t="s">
        <v>1253</v>
      </c>
      <c r="D2405" s="225">
        <v>0</v>
      </c>
    </row>
    <row r="2406" spans="1:4">
      <c r="A2406" s="107">
        <v>1</v>
      </c>
      <c r="B2406" s="1325"/>
      <c r="C2406" t="s">
        <v>421</v>
      </c>
      <c r="D2406" s="225">
        <v>46832.9</v>
      </c>
    </row>
    <row r="2407" spans="1:4" ht="12.75" customHeight="1">
      <c r="A2407" s="107">
        <v>2</v>
      </c>
      <c r="B2407" s="1323" t="s">
        <v>1153</v>
      </c>
      <c r="C2407" t="s">
        <v>444</v>
      </c>
      <c r="D2407" s="225">
        <v>0</v>
      </c>
    </row>
    <row r="2408" spans="1:4">
      <c r="A2408" s="107">
        <v>2</v>
      </c>
      <c r="B2408" s="1324"/>
      <c r="C2408" t="s">
        <v>445</v>
      </c>
      <c r="D2408" s="225">
        <v>0</v>
      </c>
    </row>
    <row r="2409" spans="1:4">
      <c r="A2409" s="107">
        <v>2</v>
      </c>
      <c r="B2409" s="1324"/>
      <c r="C2409" t="s">
        <v>446</v>
      </c>
      <c r="D2409" s="225">
        <v>28905.7</v>
      </c>
    </row>
    <row r="2410" spans="1:4">
      <c r="A2410" s="107">
        <v>2</v>
      </c>
      <c r="B2410" s="1324"/>
      <c r="C2410" t="s">
        <v>1253</v>
      </c>
      <c r="D2410" s="225">
        <v>0</v>
      </c>
    </row>
    <row r="2411" spans="1:4">
      <c r="A2411" s="107">
        <v>2</v>
      </c>
      <c r="B2411" s="1325"/>
      <c r="C2411" t="s">
        <v>421</v>
      </c>
      <c r="D2411" s="225">
        <v>0</v>
      </c>
    </row>
    <row r="2412" spans="1:4" ht="24" customHeight="1">
      <c r="A2412" s="107">
        <v>1</v>
      </c>
      <c r="B2412" s="1323" t="s">
        <v>1154</v>
      </c>
      <c r="C2412" t="s">
        <v>444</v>
      </c>
      <c r="D2412" s="225">
        <v>737772.1</v>
      </c>
    </row>
    <row r="2413" spans="1:4" ht="12.75" customHeight="1">
      <c r="A2413" s="107">
        <v>1</v>
      </c>
      <c r="B2413" s="1324"/>
      <c r="C2413" t="s">
        <v>445</v>
      </c>
      <c r="D2413" s="225">
        <v>25140.7</v>
      </c>
    </row>
    <row r="2414" spans="1:4">
      <c r="A2414" s="107">
        <v>1</v>
      </c>
      <c r="B2414" s="1324"/>
      <c r="C2414" t="s">
        <v>446</v>
      </c>
      <c r="D2414" s="225">
        <v>54435.6</v>
      </c>
    </row>
    <row r="2415" spans="1:4">
      <c r="A2415" s="107">
        <v>1</v>
      </c>
      <c r="B2415" s="1324"/>
      <c r="C2415" t="s">
        <v>1253</v>
      </c>
      <c r="D2415" s="225">
        <v>0</v>
      </c>
    </row>
    <row r="2416" spans="1:4">
      <c r="A2416" s="107">
        <v>1</v>
      </c>
      <c r="B2416" s="1325"/>
      <c r="C2416" t="s">
        <v>421</v>
      </c>
      <c r="D2416" s="225">
        <v>39697.699999999997</v>
      </c>
    </row>
    <row r="2417" spans="1:4" ht="12.75" customHeight="1">
      <c r="A2417" s="107">
        <v>7</v>
      </c>
      <c r="B2417" s="1323" t="s">
        <v>1155</v>
      </c>
      <c r="C2417" t="s">
        <v>444</v>
      </c>
      <c r="D2417" s="225">
        <v>8012</v>
      </c>
    </row>
    <row r="2418" spans="1:4">
      <c r="A2418" s="107">
        <v>7</v>
      </c>
      <c r="B2418" s="1324"/>
      <c r="C2418" t="s">
        <v>445</v>
      </c>
      <c r="D2418" s="225">
        <v>0</v>
      </c>
    </row>
    <row r="2419" spans="1:4">
      <c r="A2419" s="107">
        <v>7</v>
      </c>
      <c r="B2419" s="1324"/>
      <c r="C2419" t="s">
        <v>446</v>
      </c>
      <c r="D2419" s="225">
        <v>17983.599999999999</v>
      </c>
    </row>
    <row r="2420" spans="1:4">
      <c r="A2420" s="107">
        <v>7</v>
      </c>
      <c r="B2420" s="1324"/>
      <c r="C2420" t="s">
        <v>1253</v>
      </c>
      <c r="D2420" s="225">
        <v>0</v>
      </c>
    </row>
    <row r="2421" spans="1:4">
      <c r="A2421" s="107">
        <v>7</v>
      </c>
      <c r="B2421" s="1325"/>
      <c r="C2421" t="s">
        <v>421</v>
      </c>
      <c r="D2421" s="225">
        <v>0</v>
      </c>
    </row>
    <row r="2422" spans="1:4" ht="12.75" customHeight="1">
      <c r="A2422" s="107">
        <v>1</v>
      </c>
      <c r="B2422" s="1323" t="s">
        <v>1156</v>
      </c>
      <c r="C2422" t="s">
        <v>444</v>
      </c>
      <c r="D2422" s="225">
        <v>633957.30000000005</v>
      </c>
    </row>
    <row r="2423" spans="1:4">
      <c r="A2423" s="107">
        <v>1</v>
      </c>
      <c r="B2423" s="1324"/>
      <c r="C2423" t="s">
        <v>445</v>
      </c>
      <c r="D2423" s="225">
        <v>22512.5</v>
      </c>
    </row>
    <row r="2424" spans="1:4">
      <c r="A2424" s="107">
        <v>1</v>
      </c>
      <c r="B2424" s="1324"/>
      <c r="C2424" t="s">
        <v>446</v>
      </c>
      <c r="D2424" s="225">
        <v>80158.2</v>
      </c>
    </row>
    <row r="2425" spans="1:4">
      <c r="A2425" s="107">
        <v>1</v>
      </c>
      <c r="B2425" s="1324"/>
      <c r="C2425" t="s">
        <v>1253</v>
      </c>
      <c r="D2425" s="225">
        <v>0</v>
      </c>
    </row>
    <row r="2426" spans="1:4">
      <c r="A2426" s="107">
        <v>1</v>
      </c>
      <c r="B2426" s="1325"/>
      <c r="C2426" t="s">
        <v>421</v>
      </c>
      <c r="D2426" s="225">
        <v>19278.599999999999</v>
      </c>
    </row>
    <row r="2427" spans="1:4" ht="12.75" customHeight="1">
      <c r="A2427" s="107">
        <v>1</v>
      </c>
      <c r="B2427" s="1323" t="s">
        <v>1157</v>
      </c>
      <c r="C2427" t="s">
        <v>444</v>
      </c>
      <c r="D2427" s="225">
        <v>1204445.2</v>
      </c>
    </row>
    <row r="2428" spans="1:4">
      <c r="A2428" s="107">
        <v>1</v>
      </c>
      <c r="B2428" s="1324"/>
      <c r="C2428" t="s">
        <v>445</v>
      </c>
      <c r="D2428" s="225">
        <v>275545.90000000002</v>
      </c>
    </row>
    <row r="2429" spans="1:4">
      <c r="A2429" s="107">
        <v>1</v>
      </c>
      <c r="B2429" s="1324"/>
      <c r="C2429" t="s">
        <v>446</v>
      </c>
      <c r="D2429" s="225">
        <v>91842.2</v>
      </c>
    </row>
    <row r="2430" spans="1:4">
      <c r="A2430" s="107">
        <v>1</v>
      </c>
      <c r="B2430" s="1324"/>
      <c r="C2430" t="s">
        <v>1253</v>
      </c>
      <c r="D2430" s="225">
        <v>0</v>
      </c>
    </row>
    <row r="2431" spans="1:4">
      <c r="A2431" s="107">
        <v>1</v>
      </c>
      <c r="B2431" s="1325"/>
      <c r="C2431" t="s">
        <v>421</v>
      </c>
      <c r="D2431" s="225">
        <v>78272.600000000006</v>
      </c>
    </row>
    <row r="2432" spans="1:4">
      <c r="A2432" s="107">
        <v>1</v>
      </c>
      <c r="B2432" s="1323" t="s">
        <v>1158</v>
      </c>
      <c r="C2432" t="s">
        <v>444</v>
      </c>
      <c r="D2432" s="225">
        <v>118739.6</v>
      </c>
    </row>
    <row r="2433" spans="1:4">
      <c r="A2433" s="107">
        <v>1</v>
      </c>
      <c r="B2433" s="1324"/>
      <c r="C2433" t="s">
        <v>445</v>
      </c>
      <c r="D2433" s="225">
        <v>20452.2</v>
      </c>
    </row>
    <row r="2434" spans="1:4">
      <c r="A2434" s="107">
        <v>1</v>
      </c>
      <c r="B2434" s="1324"/>
      <c r="C2434" t="s">
        <v>446</v>
      </c>
      <c r="D2434" s="225">
        <v>34407.1</v>
      </c>
    </row>
    <row r="2435" spans="1:4">
      <c r="A2435" s="107">
        <v>1</v>
      </c>
      <c r="B2435" s="1324"/>
      <c r="C2435" t="s">
        <v>1253</v>
      </c>
      <c r="D2435" s="225">
        <v>0</v>
      </c>
    </row>
    <row r="2436" spans="1:4">
      <c r="A2436" s="107">
        <v>1</v>
      </c>
      <c r="B2436" s="1324"/>
      <c r="C2436" t="s">
        <v>421</v>
      </c>
      <c r="D2436" s="225">
        <v>8667</v>
      </c>
    </row>
    <row r="2437" spans="1:4">
      <c r="A2437" s="107">
        <v>17</v>
      </c>
      <c r="B2437" s="1323" t="s">
        <v>1159</v>
      </c>
      <c r="C2437" t="s">
        <v>444</v>
      </c>
      <c r="D2437" s="225">
        <v>209951.4</v>
      </c>
    </row>
    <row r="2438" spans="1:4">
      <c r="A2438" s="107">
        <v>17</v>
      </c>
      <c r="B2438" s="1324"/>
      <c r="C2438" t="s">
        <v>445</v>
      </c>
      <c r="D2438" s="225">
        <v>0</v>
      </c>
    </row>
    <row r="2439" spans="1:4">
      <c r="A2439" s="107">
        <v>17</v>
      </c>
      <c r="B2439" s="1324"/>
      <c r="C2439" t="s">
        <v>446</v>
      </c>
      <c r="D2439" s="225">
        <v>0</v>
      </c>
    </row>
    <row r="2440" spans="1:4">
      <c r="A2440" s="107">
        <v>17</v>
      </c>
      <c r="B2440" s="1324"/>
      <c r="C2440" t="s">
        <v>1253</v>
      </c>
      <c r="D2440" s="225">
        <v>0</v>
      </c>
    </row>
    <row r="2441" spans="1:4">
      <c r="A2441" s="107">
        <v>17</v>
      </c>
      <c r="B2441" s="1325"/>
      <c r="C2441" t="s">
        <v>421</v>
      </c>
      <c r="D2441" s="225">
        <v>0</v>
      </c>
    </row>
    <row r="2442" spans="1:4" ht="12.75" customHeight="1">
      <c r="A2442" s="107">
        <v>4</v>
      </c>
      <c r="B2442" s="1323" t="s">
        <v>1160</v>
      </c>
      <c r="C2442" t="s">
        <v>444</v>
      </c>
      <c r="D2442" s="225">
        <v>413240.1</v>
      </c>
    </row>
    <row r="2443" spans="1:4">
      <c r="A2443" s="107">
        <v>4</v>
      </c>
      <c r="B2443" s="1324"/>
      <c r="C2443" t="s">
        <v>445</v>
      </c>
      <c r="D2443" s="225">
        <v>0</v>
      </c>
    </row>
    <row r="2444" spans="1:4">
      <c r="A2444" s="107">
        <v>4</v>
      </c>
      <c r="B2444" s="1324"/>
      <c r="C2444" t="s">
        <v>446</v>
      </c>
      <c r="D2444" s="225">
        <v>20144.3</v>
      </c>
    </row>
    <row r="2445" spans="1:4">
      <c r="A2445" s="107">
        <v>4</v>
      </c>
      <c r="B2445" s="1324"/>
      <c r="C2445" t="s">
        <v>1253</v>
      </c>
      <c r="D2445" s="225">
        <v>0</v>
      </c>
    </row>
    <row r="2446" spans="1:4">
      <c r="A2446" s="107">
        <v>4</v>
      </c>
      <c r="B2446" s="1325"/>
      <c r="C2446" t="s">
        <v>421</v>
      </c>
      <c r="D2446" s="225">
        <v>10975</v>
      </c>
    </row>
    <row r="2447" spans="1:4" ht="12.75" customHeight="1">
      <c r="A2447" s="107">
        <v>1</v>
      </c>
      <c r="B2447" s="1323" t="s">
        <v>1161</v>
      </c>
      <c r="C2447" t="s">
        <v>444</v>
      </c>
      <c r="D2447" s="225">
        <v>16910.5</v>
      </c>
    </row>
    <row r="2448" spans="1:4">
      <c r="A2448" s="107">
        <v>1</v>
      </c>
      <c r="B2448" s="1324"/>
      <c r="C2448" t="s">
        <v>445</v>
      </c>
      <c r="D2448" s="225">
        <v>0</v>
      </c>
    </row>
    <row r="2449" spans="1:4">
      <c r="A2449" s="107">
        <v>1</v>
      </c>
      <c r="B2449" s="1324"/>
      <c r="C2449" t="s">
        <v>446</v>
      </c>
      <c r="D2449" s="225">
        <v>0</v>
      </c>
    </row>
    <row r="2450" spans="1:4">
      <c r="A2450" s="107">
        <v>1</v>
      </c>
      <c r="B2450" s="1324"/>
      <c r="C2450" t="s">
        <v>1253</v>
      </c>
      <c r="D2450" s="225">
        <v>0</v>
      </c>
    </row>
    <row r="2451" spans="1:4">
      <c r="A2451" s="107">
        <v>1</v>
      </c>
      <c r="B2451" s="1325"/>
      <c r="C2451" t="s">
        <v>421</v>
      </c>
      <c r="D2451" s="225">
        <v>0</v>
      </c>
    </row>
    <row r="2452" spans="1:4" ht="12.75" customHeight="1">
      <c r="A2452" s="107">
        <v>3</v>
      </c>
      <c r="B2452" s="1323" t="s">
        <v>1162</v>
      </c>
      <c r="C2452" t="s">
        <v>444</v>
      </c>
      <c r="D2452" s="225">
        <v>60447.3</v>
      </c>
    </row>
    <row r="2453" spans="1:4">
      <c r="A2453" s="107">
        <v>3</v>
      </c>
      <c r="B2453" s="1324"/>
      <c r="C2453" t="s">
        <v>445</v>
      </c>
      <c r="D2453" s="225">
        <v>0</v>
      </c>
    </row>
    <row r="2454" spans="1:4" ht="15" customHeight="1">
      <c r="A2454" s="107">
        <v>3</v>
      </c>
      <c r="B2454" s="1324"/>
      <c r="C2454" t="s">
        <v>446</v>
      </c>
      <c r="D2454" s="225">
        <v>20905.099999999999</v>
      </c>
    </row>
    <row r="2455" spans="1:4">
      <c r="A2455" s="107">
        <v>3</v>
      </c>
      <c r="B2455" s="1324"/>
      <c r="C2455" t="s">
        <v>1253</v>
      </c>
      <c r="D2455" s="225">
        <v>0</v>
      </c>
    </row>
    <row r="2456" spans="1:4">
      <c r="A2456" s="107">
        <v>3</v>
      </c>
      <c r="B2456" s="1325"/>
      <c r="C2456" t="s">
        <v>421</v>
      </c>
      <c r="D2456" s="225">
        <v>0</v>
      </c>
    </row>
    <row r="2457" spans="1:4" ht="12.75" customHeight="1">
      <c r="A2457" s="107">
        <v>1</v>
      </c>
      <c r="B2457" s="1323" t="s">
        <v>1163</v>
      </c>
      <c r="C2457" t="s">
        <v>444</v>
      </c>
      <c r="D2457" s="225">
        <v>12810.6</v>
      </c>
    </row>
    <row r="2458" spans="1:4">
      <c r="A2458" s="107">
        <v>1</v>
      </c>
      <c r="B2458" s="1324"/>
      <c r="C2458" t="s">
        <v>445</v>
      </c>
      <c r="D2458" s="225">
        <v>0</v>
      </c>
    </row>
    <row r="2459" spans="1:4">
      <c r="A2459" s="107">
        <v>1</v>
      </c>
      <c r="B2459" s="1324"/>
      <c r="C2459" t="s">
        <v>446</v>
      </c>
      <c r="D2459" s="225">
        <v>8061.7</v>
      </c>
    </row>
    <row r="2460" spans="1:4">
      <c r="A2460" s="107">
        <v>1</v>
      </c>
      <c r="B2460" s="1324"/>
      <c r="C2460" t="s">
        <v>1253</v>
      </c>
      <c r="D2460" s="225">
        <v>0</v>
      </c>
    </row>
    <row r="2461" spans="1:4">
      <c r="A2461" s="107">
        <v>1</v>
      </c>
      <c r="B2461" s="1325"/>
      <c r="C2461" t="s">
        <v>421</v>
      </c>
      <c r="D2461" s="225">
        <v>0</v>
      </c>
    </row>
    <row r="2462" spans="1:4">
      <c r="A2462" s="107">
        <v>1</v>
      </c>
      <c r="B2462" s="1323" t="s">
        <v>1164</v>
      </c>
      <c r="C2462" t="s">
        <v>444</v>
      </c>
      <c r="D2462" s="225">
        <v>44316.3</v>
      </c>
    </row>
    <row r="2463" spans="1:4">
      <c r="A2463" s="107">
        <v>1</v>
      </c>
      <c r="B2463" s="1324"/>
      <c r="C2463" t="s">
        <v>445</v>
      </c>
      <c r="D2463" s="225">
        <v>0</v>
      </c>
    </row>
    <row r="2464" spans="1:4">
      <c r="A2464" s="107">
        <v>1</v>
      </c>
      <c r="B2464" s="1324"/>
      <c r="C2464" t="s">
        <v>446</v>
      </c>
      <c r="D2464" s="225">
        <v>5469.6</v>
      </c>
    </row>
    <row r="2465" spans="1:4">
      <c r="A2465" s="107">
        <v>1</v>
      </c>
      <c r="B2465" s="1324"/>
      <c r="C2465" t="s">
        <v>1253</v>
      </c>
      <c r="D2465" s="225">
        <v>0</v>
      </c>
    </row>
    <row r="2466" spans="1:4">
      <c r="A2466" s="107">
        <v>1</v>
      </c>
      <c r="B2466" s="1325"/>
      <c r="C2466" t="s">
        <v>421</v>
      </c>
      <c r="D2466" s="225">
        <v>0</v>
      </c>
    </row>
    <row r="2467" spans="1:4" ht="12.75" customHeight="1">
      <c r="A2467" s="107">
        <v>1</v>
      </c>
      <c r="B2467" s="1323" t="s">
        <v>1165</v>
      </c>
      <c r="C2467" t="s">
        <v>444</v>
      </c>
      <c r="D2467" s="225">
        <v>7800.1</v>
      </c>
    </row>
    <row r="2468" spans="1:4">
      <c r="A2468" s="107">
        <v>1</v>
      </c>
      <c r="B2468" s="1324"/>
      <c r="C2468" t="s">
        <v>445</v>
      </c>
      <c r="D2468" s="225">
        <v>0</v>
      </c>
    </row>
    <row r="2469" spans="1:4">
      <c r="A2469" s="107">
        <v>1</v>
      </c>
      <c r="B2469" s="1324"/>
      <c r="C2469" t="s">
        <v>446</v>
      </c>
      <c r="D2469" s="225">
        <v>999.9</v>
      </c>
    </row>
    <row r="2470" spans="1:4">
      <c r="A2470" s="107">
        <v>1</v>
      </c>
      <c r="B2470" s="1324"/>
      <c r="C2470" t="s">
        <v>1253</v>
      </c>
      <c r="D2470" s="225">
        <v>0</v>
      </c>
    </row>
    <row r="2471" spans="1:4">
      <c r="A2471" s="107">
        <v>1</v>
      </c>
      <c r="B2471" s="1325"/>
      <c r="C2471" t="s">
        <v>421</v>
      </c>
      <c r="D2471" s="225">
        <v>0</v>
      </c>
    </row>
    <row r="2472" spans="1:4" ht="12.75" customHeight="1">
      <c r="A2472" s="107">
        <v>10</v>
      </c>
      <c r="B2472" s="1323" t="s">
        <v>1166</v>
      </c>
      <c r="C2472" t="s">
        <v>444</v>
      </c>
      <c r="D2472" s="225">
        <v>0</v>
      </c>
    </row>
    <row r="2473" spans="1:4">
      <c r="A2473" s="107">
        <v>10</v>
      </c>
      <c r="B2473" s="1324"/>
      <c r="C2473" t="s">
        <v>445</v>
      </c>
      <c r="D2473" s="225">
        <v>0</v>
      </c>
    </row>
    <row r="2474" spans="1:4">
      <c r="A2474" s="107">
        <v>10</v>
      </c>
      <c r="B2474" s="1324"/>
      <c r="C2474" t="s">
        <v>446</v>
      </c>
      <c r="D2474" s="225">
        <v>172510</v>
      </c>
    </row>
    <row r="2475" spans="1:4">
      <c r="A2475" s="107">
        <v>10</v>
      </c>
      <c r="B2475" s="1324"/>
      <c r="C2475" t="s">
        <v>1253</v>
      </c>
      <c r="D2475" s="225">
        <v>0</v>
      </c>
    </row>
    <row r="2476" spans="1:4">
      <c r="A2476" s="107">
        <v>10</v>
      </c>
      <c r="B2476" s="1325"/>
      <c r="C2476" t="s">
        <v>421</v>
      </c>
      <c r="D2476" s="225">
        <v>0</v>
      </c>
    </row>
    <row r="2477" spans="1:4" ht="12.75" customHeight="1">
      <c r="A2477" s="107">
        <v>11</v>
      </c>
      <c r="B2477" s="1323" t="s">
        <v>1167</v>
      </c>
      <c r="C2477" t="s">
        <v>444</v>
      </c>
      <c r="D2477" s="225">
        <v>820627.4</v>
      </c>
    </row>
    <row r="2478" spans="1:4">
      <c r="A2478" s="107">
        <v>11</v>
      </c>
      <c r="B2478" s="1324"/>
      <c r="C2478" t="s">
        <v>445</v>
      </c>
      <c r="D2478" s="225">
        <v>1870794.8</v>
      </c>
    </row>
    <row r="2479" spans="1:4">
      <c r="A2479" s="107">
        <v>11</v>
      </c>
      <c r="B2479" s="1324"/>
      <c r="C2479" t="s">
        <v>446</v>
      </c>
      <c r="D2479" s="225">
        <v>26607.200000000001</v>
      </c>
    </row>
    <row r="2480" spans="1:4">
      <c r="A2480" s="107">
        <v>11</v>
      </c>
      <c r="B2480" s="1324"/>
      <c r="C2480" t="s">
        <v>1253</v>
      </c>
      <c r="D2480" s="225">
        <v>0</v>
      </c>
    </row>
    <row r="2481" spans="1:4">
      <c r="A2481" s="107">
        <v>11</v>
      </c>
      <c r="B2481" s="1325"/>
      <c r="C2481" t="s">
        <v>421</v>
      </c>
      <c r="D2481" s="225">
        <v>21906.400000000001</v>
      </c>
    </row>
    <row r="2482" spans="1:4" ht="12.75" customHeight="1">
      <c r="A2482" s="107">
        <v>2</v>
      </c>
      <c r="B2482" s="1323" t="s">
        <v>1168</v>
      </c>
      <c r="C2482" t="s">
        <v>444</v>
      </c>
      <c r="D2482" s="225">
        <v>0</v>
      </c>
    </row>
    <row r="2483" spans="1:4">
      <c r="A2483" s="107">
        <v>2</v>
      </c>
      <c r="B2483" s="1324"/>
      <c r="C2483" t="s">
        <v>445</v>
      </c>
      <c r="D2483" s="225">
        <v>0</v>
      </c>
    </row>
    <row r="2484" spans="1:4">
      <c r="A2484" s="107">
        <v>2</v>
      </c>
      <c r="B2484" s="1324"/>
      <c r="C2484" t="s">
        <v>446</v>
      </c>
      <c r="D2484" s="225">
        <v>141972</v>
      </c>
    </row>
    <row r="2485" spans="1:4">
      <c r="A2485" s="107">
        <v>2</v>
      </c>
      <c r="B2485" s="1324"/>
      <c r="C2485" t="s">
        <v>1253</v>
      </c>
      <c r="D2485" s="225">
        <v>0</v>
      </c>
    </row>
    <row r="2486" spans="1:4">
      <c r="A2486" s="107">
        <v>2</v>
      </c>
      <c r="B2486" s="1325"/>
      <c r="C2486" t="s">
        <v>421</v>
      </c>
      <c r="D2486" s="225">
        <v>0</v>
      </c>
    </row>
    <row r="2487" spans="1:4" ht="12.75" customHeight="1">
      <c r="A2487" s="107">
        <v>2</v>
      </c>
      <c r="B2487" s="1323" t="s">
        <v>1169</v>
      </c>
      <c r="C2487" t="s">
        <v>444</v>
      </c>
      <c r="D2487" s="225">
        <v>0</v>
      </c>
    </row>
    <row r="2488" spans="1:4">
      <c r="A2488" s="107">
        <v>2</v>
      </c>
      <c r="B2488" s="1324"/>
      <c r="C2488" t="s">
        <v>445</v>
      </c>
      <c r="D2488" s="225">
        <v>0</v>
      </c>
    </row>
    <row r="2489" spans="1:4">
      <c r="A2489" s="107">
        <v>2</v>
      </c>
      <c r="B2489" s="1324"/>
      <c r="C2489" t="s">
        <v>446</v>
      </c>
      <c r="D2489" s="225">
        <v>26560.6</v>
      </c>
    </row>
    <row r="2490" spans="1:4">
      <c r="A2490" s="107">
        <v>2</v>
      </c>
      <c r="B2490" s="1324"/>
      <c r="C2490" t="s">
        <v>1253</v>
      </c>
      <c r="D2490" s="225">
        <v>0</v>
      </c>
    </row>
    <row r="2491" spans="1:4">
      <c r="A2491" s="107">
        <v>2</v>
      </c>
      <c r="B2491" s="1325"/>
      <c r="C2491" t="s">
        <v>421</v>
      </c>
      <c r="D2491" s="225">
        <v>0</v>
      </c>
    </row>
    <row r="2492" spans="1:4" ht="12.75" customHeight="1">
      <c r="A2492" s="107">
        <v>1</v>
      </c>
      <c r="B2492" s="1323" t="s">
        <v>1557</v>
      </c>
      <c r="C2492" t="s">
        <v>444</v>
      </c>
      <c r="D2492" s="225">
        <v>8860</v>
      </c>
    </row>
    <row r="2493" spans="1:4">
      <c r="A2493" s="107">
        <v>1</v>
      </c>
      <c r="B2493" s="1324"/>
      <c r="C2493" t="s">
        <v>445</v>
      </c>
      <c r="D2493" s="225">
        <v>0</v>
      </c>
    </row>
    <row r="2494" spans="1:4">
      <c r="A2494" s="107">
        <v>1</v>
      </c>
      <c r="B2494" s="1324"/>
      <c r="C2494" t="s">
        <v>446</v>
      </c>
      <c r="D2494" s="225">
        <v>8587.5</v>
      </c>
    </row>
    <row r="2495" spans="1:4">
      <c r="A2495" s="107">
        <v>1</v>
      </c>
      <c r="B2495" s="1324"/>
      <c r="C2495" t="s">
        <v>1253</v>
      </c>
      <c r="D2495" s="225">
        <v>0</v>
      </c>
    </row>
    <row r="2496" spans="1:4">
      <c r="A2496" s="107">
        <v>1</v>
      </c>
      <c r="B2496" s="1325"/>
      <c r="C2496" t="s">
        <v>421</v>
      </c>
      <c r="D2496" s="225">
        <v>0</v>
      </c>
    </row>
    <row r="2497" spans="1:4">
      <c r="A2497" s="107">
        <v>1</v>
      </c>
      <c r="B2497" s="1323" t="s">
        <v>1558</v>
      </c>
      <c r="C2497" t="s">
        <v>444</v>
      </c>
      <c r="D2497" s="225">
        <v>7026</v>
      </c>
    </row>
    <row r="2498" spans="1:4">
      <c r="A2498" s="107">
        <v>1</v>
      </c>
      <c r="B2498" s="1324"/>
      <c r="C2498" t="s">
        <v>445</v>
      </c>
      <c r="D2498" s="225">
        <v>0</v>
      </c>
    </row>
    <row r="2499" spans="1:4">
      <c r="A2499" s="107">
        <v>1</v>
      </c>
      <c r="B2499" s="1324"/>
      <c r="C2499" t="s">
        <v>446</v>
      </c>
      <c r="D2499" s="225">
        <v>4453.3999999999996</v>
      </c>
    </row>
    <row r="2500" spans="1:4">
      <c r="A2500" s="107">
        <v>1</v>
      </c>
      <c r="B2500" s="1324"/>
      <c r="C2500" t="s">
        <v>1253</v>
      </c>
      <c r="D2500" s="225">
        <v>0</v>
      </c>
    </row>
    <row r="2501" spans="1:4">
      <c r="A2501" s="107">
        <v>1</v>
      </c>
      <c r="B2501" s="1325"/>
      <c r="C2501" t="s">
        <v>421</v>
      </c>
      <c r="D2501" s="225">
        <v>0</v>
      </c>
    </row>
    <row r="2502" spans="1:4">
      <c r="A2502" s="107">
        <v>2</v>
      </c>
      <c r="B2502" s="1323" t="s">
        <v>1559</v>
      </c>
      <c r="C2502" t="s">
        <v>444</v>
      </c>
      <c r="D2502" s="225">
        <v>0</v>
      </c>
    </row>
    <row r="2503" spans="1:4">
      <c r="A2503" s="107">
        <v>2</v>
      </c>
      <c r="B2503" s="1324"/>
      <c r="C2503" t="s">
        <v>445</v>
      </c>
      <c r="D2503" s="225">
        <v>0</v>
      </c>
    </row>
    <row r="2504" spans="1:4">
      <c r="A2504" s="107">
        <v>2</v>
      </c>
      <c r="B2504" s="1324"/>
      <c r="C2504" t="s">
        <v>446</v>
      </c>
      <c r="D2504" s="225">
        <v>88300</v>
      </c>
    </row>
    <row r="2505" spans="1:4">
      <c r="A2505" s="107">
        <v>2</v>
      </c>
      <c r="B2505" s="1324"/>
      <c r="C2505" t="s">
        <v>1253</v>
      </c>
      <c r="D2505" s="225">
        <v>0</v>
      </c>
    </row>
    <row r="2506" spans="1:4">
      <c r="A2506" s="107">
        <v>2</v>
      </c>
      <c r="B2506" s="1325"/>
      <c r="C2506" t="s">
        <v>421</v>
      </c>
      <c r="D2506" s="225">
        <v>0</v>
      </c>
    </row>
    <row r="2507" spans="1:4">
      <c r="A2507" s="107">
        <v>2</v>
      </c>
      <c r="B2507" s="1323" t="s">
        <v>1170</v>
      </c>
      <c r="C2507" t="s">
        <v>444</v>
      </c>
      <c r="D2507" s="223">
        <v>0</v>
      </c>
    </row>
    <row r="2508" spans="1:4">
      <c r="A2508" s="107">
        <v>2</v>
      </c>
      <c r="B2508" s="1324"/>
      <c r="C2508" t="s">
        <v>445</v>
      </c>
      <c r="D2508" s="223">
        <v>0</v>
      </c>
    </row>
    <row r="2509" spans="1:4">
      <c r="A2509" s="107">
        <v>2</v>
      </c>
      <c r="B2509" s="1324"/>
      <c r="C2509" t="s">
        <v>446</v>
      </c>
      <c r="D2509" s="223">
        <v>34939.5</v>
      </c>
    </row>
    <row r="2510" spans="1:4">
      <c r="A2510" s="107">
        <v>2</v>
      </c>
      <c r="B2510" s="1324"/>
      <c r="C2510" t="s">
        <v>1253</v>
      </c>
      <c r="D2510" s="223">
        <v>0</v>
      </c>
    </row>
    <row r="2511" spans="1:4">
      <c r="A2511" s="107">
        <v>2</v>
      </c>
      <c r="B2511" s="1325"/>
      <c r="C2511" t="s">
        <v>421</v>
      </c>
      <c r="D2511" s="223">
        <v>0</v>
      </c>
    </row>
    <row r="2512" spans="1:4">
      <c r="A2512" s="107">
        <v>2</v>
      </c>
      <c r="B2512" s="1323" t="s">
        <v>1171</v>
      </c>
      <c r="C2512" t="s">
        <v>444</v>
      </c>
      <c r="D2512" s="223">
        <v>0</v>
      </c>
    </row>
    <row r="2513" spans="1:4">
      <c r="A2513" s="107">
        <v>2</v>
      </c>
      <c r="B2513" s="1324"/>
      <c r="C2513" t="s">
        <v>445</v>
      </c>
      <c r="D2513" s="223">
        <v>0</v>
      </c>
    </row>
    <row r="2514" spans="1:4">
      <c r="A2514" s="107">
        <v>2</v>
      </c>
      <c r="B2514" s="1324"/>
      <c r="C2514" t="s">
        <v>446</v>
      </c>
      <c r="D2514" s="223">
        <v>43473.599999999999</v>
      </c>
    </row>
    <row r="2515" spans="1:4">
      <c r="A2515" s="107">
        <v>2</v>
      </c>
      <c r="B2515" s="1324"/>
      <c r="C2515" t="s">
        <v>1253</v>
      </c>
      <c r="D2515" s="223">
        <v>0</v>
      </c>
    </row>
    <row r="2516" spans="1:4">
      <c r="A2516" s="107">
        <v>2</v>
      </c>
      <c r="B2516" s="1325"/>
      <c r="C2516" t="s">
        <v>421</v>
      </c>
      <c r="D2516" s="223">
        <v>0</v>
      </c>
    </row>
    <row r="2517" spans="1:4">
      <c r="A2517" s="107">
        <v>2</v>
      </c>
      <c r="B2517" s="1323" t="s">
        <v>1172</v>
      </c>
      <c r="C2517" t="s">
        <v>444</v>
      </c>
      <c r="D2517" s="223">
        <v>0</v>
      </c>
    </row>
    <row r="2518" spans="1:4">
      <c r="A2518" s="107">
        <v>2</v>
      </c>
      <c r="B2518" s="1324"/>
      <c r="C2518" t="s">
        <v>445</v>
      </c>
      <c r="D2518" s="223">
        <v>0</v>
      </c>
    </row>
    <row r="2519" spans="1:4">
      <c r="A2519" s="107">
        <v>2</v>
      </c>
      <c r="B2519" s="1324"/>
      <c r="C2519" t="s">
        <v>446</v>
      </c>
      <c r="D2519" s="223">
        <v>29401.3</v>
      </c>
    </row>
    <row r="2520" spans="1:4">
      <c r="A2520" s="107">
        <v>2</v>
      </c>
      <c r="B2520" s="1324"/>
      <c r="C2520" t="s">
        <v>1253</v>
      </c>
      <c r="D2520" s="223">
        <v>0</v>
      </c>
    </row>
    <row r="2521" spans="1:4">
      <c r="A2521" s="107">
        <v>2</v>
      </c>
      <c r="B2521" s="1325"/>
      <c r="C2521" t="s">
        <v>421</v>
      </c>
      <c r="D2521" s="223">
        <v>0</v>
      </c>
    </row>
    <row r="2522" spans="1:4" ht="12.75" customHeight="1">
      <c r="A2522" s="107">
        <v>1</v>
      </c>
      <c r="B2522" s="1323" t="s">
        <v>1173</v>
      </c>
      <c r="C2522" t="s">
        <v>444</v>
      </c>
      <c r="D2522" s="223">
        <v>721563.9</v>
      </c>
    </row>
    <row r="2523" spans="1:4">
      <c r="A2523" s="107">
        <v>1</v>
      </c>
      <c r="B2523" s="1324"/>
      <c r="C2523" t="s">
        <v>445</v>
      </c>
      <c r="D2523" s="223">
        <v>0</v>
      </c>
    </row>
    <row r="2524" spans="1:4">
      <c r="A2524" s="107">
        <v>1</v>
      </c>
      <c r="B2524" s="1324"/>
      <c r="C2524" t="s">
        <v>446</v>
      </c>
      <c r="D2524" s="223">
        <v>14887.1</v>
      </c>
    </row>
    <row r="2525" spans="1:4">
      <c r="A2525" s="107">
        <v>1</v>
      </c>
      <c r="B2525" s="1324"/>
      <c r="C2525" t="s">
        <v>1253</v>
      </c>
      <c r="D2525" s="223">
        <v>0</v>
      </c>
    </row>
    <row r="2526" spans="1:4">
      <c r="A2526" s="107">
        <v>1</v>
      </c>
      <c r="B2526" s="1325"/>
      <c r="C2526" t="s">
        <v>421</v>
      </c>
      <c r="D2526" s="223">
        <v>32855.800000000003</v>
      </c>
    </row>
    <row r="2527" spans="1:4" ht="12.75" customHeight="1">
      <c r="A2527" s="107">
        <v>4</v>
      </c>
      <c r="B2527" s="1323" t="s">
        <v>1174</v>
      </c>
      <c r="C2527" t="s">
        <v>444</v>
      </c>
      <c r="D2527" s="223">
        <v>607155.5</v>
      </c>
    </row>
    <row r="2528" spans="1:4">
      <c r="A2528" s="107">
        <v>4</v>
      </c>
      <c r="B2528" s="1324"/>
      <c r="C2528" t="s">
        <v>445</v>
      </c>
      <c r="D2528" s="223">
        <v>2891.9</v>
      </c>
    </row>
    <row r="2529" spans="1:4">
      <c r="A2529" s="107">
        <v>4</v>
      </c>
      <c r="B2529" s="1324"/>
      <c r="C2529" t="s">
        <v>446</v>
      </c>
      <c r="D2529" s="223">
        <v>31250.2</v>
      </c>
    </row>
    <row r="2530" spans="1:4">
      <c r="A2530" s="107">
        <v>4</v>
      </c>
      <c r="B2530" s="1324"/>
      <c r="C2530" t="s">
        <v>1253</v>
      </c>
      <c r="D2530" s="223">
        <v>0</v>
      </c>
    </row>
    <row r="2531" spans="1:4">
      <c r="A2531" s="107">
        <v>4</v>
      </c>
      <c r="B2531" s="1325"/>
      <c r="C2531" t="s">
        <v>421</v>
      </c>
      <c r="D2531" s="223">
        <v>13272.5</v>
      </c>
    </row>
    <row r="2532" spans="1:4" ht="12.75" customHeight="1">
      <c r="A2532" s="107">
        <v>1</v>
      </c>
      <c r="B2532" s="1323" t="s">
        <v>1175</v>
      </c>
      <c r="C2532" t="s">
        <v>444</v>
      </c>
      <c r="D2532" s="223">
        <v>294416.8</v>
      </c>
    </row>
    <row r="2533" spans="1:4">
      <c r="A2533" s="107">
        <v>1</v>
      </c>
      <c r="B2533" s="1324"/>
      <c r="C2533" t="s">
        <v>445</v>
      </c>
      <c r="D2533" s="223">
        <v>0</v>
      </c>
    </row>
    <row r="2534" spans="1:4">
      <c r="A2534" s="107">
        <v>1</v>
      </c>
      <c r="B2534" s="1324"/>
      <c r="C2534" t="s">
        <v>446</v>
      </c>
      <c r="D2534" s="223">
        <v>6552.9</v>
      </c>
    </row>
    <row r="2535" spans="1:4">
      <c r="A2535" s="107">
        <v>1</v>
      </c>
      <c r="B2535" s="1324"/>
      <c r="C2535" t="s">
        <v>1253</v>
      </c>
      <c r="D2535" s="223">
        <v>0</v>
      </c>
    </row>
    <row r="2536" spans="1:4">
      <c r="A2536" s="107">
        <v>1</v>
      </c>
      <c r="B2536" s="1325"/>
      <c r="C2536" t="s">
        <v>421</v>
      </c>
      <c r="D2536" s="223">
        <v>0</v>
      </c>
    </row>
    <row r="2537" spans="1:4">
      <c r="A2537" s="107">
        <v>2</v>
      </c>
      <c r="B2537" s="1323" t="s">
        <v>1176</v>
      </c>
      <c r="C2537" t="s">
        <v>444</v>
      </c>
      <c r="D2537" s="223">
        <v>0</v>
      </c>
    </row>
    <row r="2538" spans="1:4">
      <c r="A2538" s="107">
        <v>2</v>
      </c>
      <c r="B2538" s="1324"/>
      <c r="C2538" t="s">
        <v>445</v>
      </c>
      <c r="D2538" s="223">
        <v>0</v>
      </c>
    </row>
    <row r="2539" spans="1:4">
      <c r="A2539" s="107">
        <v>2</v>
      </c>
      <c r="B2539" s="1324"/>
      <c r="C2539" t="s">
        <v>446</v>
      </c>
      <c r="D2539" s="223">
        <v>14370.2</v>
      </c>
    </row>
    <row r="2540" spans="1:4">
      <c r="A2540" s="107">
        <v>2</v>
      </c>
      <c r="B2540" s="1324"/>
      <c r="C2540" t="s">
        <v>1253</v>
      </c>
      <c r="D2540" s="223">
        <v>0</v>
      </c>
    </row>
    <row r="2541" spans="1:4">
      <c r="A2541" s="107">
        <v>2</v>
      </c>
      <c r="B2541" s="1325"/>
      <c r="C2541" t="s">
        <v>421</v>
      </c>
      <c r="D2541" s="223">
        <v>0</v>
      </c>
    </row>
    <row r="2542" spans="1:4">
      <c r="A2542" s="107">
        <v>1</v>
      </c>
      <c r="B2542" s="1323" t="s">
        <v>1177</v>
      </c>
      <c r="C2542" t="s">
        <v>444</v>
      </c>
      <c r="D2542" s="223">
        <v>1293505.3</v>
      </c>
    </row>
    <row r="2543" spans="1:4">
      <c r="A2543" s="107">
        <v>1</v>
      </c>
      <c r="B2543" s="1324"/>
      <c r="C2543" t="s">
        <v>445</v>
      </c>
      <c r="D2543" s="223">
        <v>114710.5</v>
      </c>
    </row>
    <row r="2544" spans="1:4">
      <c r="A2544" s="107">
        <v>1</v>
      </c>
      <c r="B2544" s="1324"/>
      <c r="C2544" t="s">
        <v>446</v>
      </c>
      <c r="D2544" s="223">
        <v>229921.5</v>
      </c>
    </row>
    <row r="2545" spans="1:4">
      <c r="A2545" s="107">
        <v>1</v>
      </c>
      <c r="B2545" s="1324"/>
      <c r="C2545" t="s">
        <v>1253</v>
      </c>
      <c r="D2545" s="223">
        <v>0</v>
      </c>
    </row>
    <row r="2546" spans="1:4">
      <c r="A2546" s="107">
        <v>1</v>
      </c>
      <c r="B2546" s="1325"/>
      <c r="C2546" t="s">
        <v>421</v>
      </c>
      <c r="D2546" s="223">
        <v>89260.1</v>
      </c>
    </row>
    <row r="2547" spans="1:4">
      <c r="A2547" s="107">
        <v>1</v>
      </c>
      <c r="B2547" s="1323" t="s">
        <v>1178</v>
      </c>
      <c r="C2547" t="s">
        <v>444</v>
      </c>
      <c r="D2547" s="223">
        <v>1004237.9</v>
      </c>
    </row>
    <row r="2548" spans="1:4">
      <c r="A2548" s="107">
        <v>1</v>
      </c>
      <c r="B2548" s="1324"/>
      <c r="C2548" t="s">
        <v>445</v>
      </c>
      <c r="D2548" s="223">
        <v>124567.1</v>
      </c>
    </row>
    <row r="2549" spans="1:4">
      <c r="A2549" s="107">
        <v>1</v>
      </c>
      <c r="B2549" s="1324"/>
      <c r="C2549" t="s">
        <v>446</v>
      </c>
      <c r="D2549" s="223">
        <v>63643</v>
      </c>
    </row>
    <row r="2550" spans="1:4">
      <c r="A2550" s="107">
        <v>1</v>
      </c>
      <c r="B2550" s="1324"/>
      <c r="C2550" t="s">
        <v>1253</v>
      </c>
      <c r="D2550" s="223">
        <v>0</v>
      </c>
    </row>
    <row r="2551" spans="1:4">
      <c r="A2551" s="107">
        <v>1</v>
      </c>
      <c r="B2551" s="1325"/>
      <c r="C2551" t="s">
        <v>421</v>
      </c>
      <c r="D2551" s="223">
        <v>59502.5</v>
      </c>
    </row>
    <row r="2552" spans="1:4" ht="12.75" customHeight="1">
      <c r="A2552" s="107">
        <v>11</v>
      </c>
      <c r="B2552" s="1323" t="s">
        <v>1179</v>
      </c>
      <c r="C2552" t="s">
        <v>444</v>
      </c>
      <c r="D2552" s="223">
        <v>916103</v>
      </c>
    </row>
    <row r="2553" spans="1:4">
      <c r="A2553" s="107">
        <v>11</v>
      </c>
      <c r="B2553" s="1324"/>
      <c r="C2553" t="s">
        <v>445</v>
      </c>
      <c r="D2553" s="223">
        <v>587619.5</v>
      </c>
    </row>
    <row r="2554" spans="1:4">
      <c r="A2554" s="107">
        <v>11</v>
      </c>
      <c r="B2554" s="1324"/>
      <c r="C2554" t="s">
        <v>446</v>
      </c>
      <c r="D2554" s="223">
        <v>4235.2</v>
      </c>
    </row>
    <row r="2555" spans="1:4" ht="14.25" customHeight="1">
      <c r="A2555" s="107">
        <v>11</v>
      </c>
      <c r="B2555" s="1324"/>
      <c r="C2555" t="s">
        <v>1253</v>
      </c>
      <c r="D2555" s="223">
        <v>0</v>
      </c>
    </row>
    <row r="2556" spans="1:4">
      <c r="A2556" s="107">
        <v>11</v>
      </c>
      <c r="B2556" s="1325"/>
      <c r="C2556" t="s">
        <v>421</v>
      </c>
      <c r="D2556" s="223">
        <v>22214.9</v>
      </c>
    </row>
    <row r="2557" spans="1:4" ht="12.75" customHeight="1">
      <c r="A2557" s="107">
        <v>3</v>
      </c>
      <c r="B2557" s="1323" t="s">
        <v>1180</v>
      </c>
      <c r="C2557" t="s">
        <v>444</v>
      </c>
      <c r="D2557" s="223">
        <v>99816.9</v>
      </c>
    </row>
    <row r="2558" spans="1:4">
      <c r="A2558" s="107">
        <v>3</v>
      </c>
      <c r="B2558" s="1324"/>
      <c r="C2558" t="s">
        <v>445</v>
      </c>
      <c r="D2558" s="223">
        <v>0</v>
      </c>
    </row>
    <row r="2559" spans="1:4">
      <c r="A2559" s="107">
        <v>3</v>
      </c>
      <c r="B2559" s="1324"/>
      <c r="C2559" t="s">
        <v>446</v>
      </c>
      <c r="D2559" s="223">
        <v>21999.3</v>
      </c>
    </row>
    <row r="2560" spans="1:4">
      <c r="A2560" s="107">
        <v>3</v>
      </c>
      <c r="B2560" s="1324"/>
      <c r="C2560" t="s">
        <v>1253</v>
      </c>
      <c r="D2560" s="223">
        <v>0</v>
      </c>
    </row>
    <row r="2561" spans="1:4">
      <c r="A2561" s="107">
        <v>3</v>
      </c>
      <c r="B2561" s="1325"/>
      <c r="C2561" t="s">
        <v>421</v>
      </c>
      <c r="D2561" s="223">
        <v>0</v>
      </c>
    </row>
    <row r="2562" spans="1:4">
      <c r="A2562" s="107">
        <v>9</v>
      </c>
      <c r="B2562" s="1323" t="s">
        <v>1181</v>
      </c>
      <c r="C2562" t="s">
        <v>444</v>
      </c>
      <c r="D2562" s="223">
        <v>47000.6</v>
      </c>
    </row>
    <row r="2563" spans="1:4">
      <c r="A2563" s="107">
        <v>9</v>
      </c>
      <c r="B2563" s="1324"/>
      <c r="C2563" t="s">
        <v>445</v>
      </c>
      <c r="D2563" s="223">
        <v>0</v>
      </c>
    </row>
    <row r="2564" spans="1:4">
      <c r="A2564" s="107">
        <v>9</v>
      </c>
      <c r="B2564" s="1324"/>
      <c r="C2564" t="s">
        <v>446</v>
      </c>
      <c r="D2564" s="223">
        <v>4475.1000000000004</v>
      </c>
    </row>
    <row r="2565" spans="1:4">
      <c r="A2565" s="107">
        <v>9</v>
      </c>
      <c r="B2565" s="1324"/>
      <c r="C2565" t="s">
        <v>1253</v>
      </c>
      <c r="D2565" s="223">
        <v>0</v>
      </c>
    </row>
    <row r="2566" spans="1:4">
      <c r="A2566" s="107">
        <v>9</v>
      </c>
      <c r="B2566" s="1325"/>
      <c r="C2566" t="s">
        <v>421</v>
      </c>
      <c r="D2566" s="223">
        <v>0</v>
      </c>
    </row>
    <row r="2567" spans="1:4">
      <c r="A2567" s="107">
        <v>2</v>
      </c>
      <c r="B2567" s="1323" t="s">
        <v>1182</v>
      </c>
      <c r="C2567" t="s">
        <v>444</v>
      </c>
      <c r="D2567" s="223">
        <v>0</v>
      </c>
    </row>
    <row r="2568" spans="1:4">
      <c r="A2568" s="107">
        <v>2</v>
      </c>
      <c r="B2568" s="1324"/>
      <c r="C2568" t="s">
        <v>445</v>
      </c>
      <c r="D2568" s="223">
        <v>0</v>
      </c>
    </row>
    <row r="2569" spans="1:4">
      <c r="A2569" s="107">
        <v>2</v>
      </c>
      <c r="B2569" s="1324"/>
      <c r="C2569" t="s">
        <v>446</v>
      </c>
      <c r="D2569" s="223">
        <v>4941.2</v>
      </c>
    </row>
    <row r="2570" spans="1:4">
      <c r="A2570" s="107">
        <v>2</v>
      </c>
      <c r="B2570" s="1324"/>
      <c r="C2570" t="s">
        <v>1253</v>
      </c>
      <c r="D2570" s="223">
        <v>0</v>
      </c>
    </row>
    <row r="2571" spans="1:4">
      <c r="A2571" s="107">
        <v>2</v>
      </c>
      <c r="B2571" s="1325"/>
      <c r="C2571" t="s">
        <v>421</v>
      </c>
      <c r="D2571" s="223">
        <v>0</v>
      </c>
    </row>
    <row r="2572" spans="1:4">
      <c r="A2572" s="107">
        <v>2</v>
      </c>
      <c r="B2572" s="1323" t="s">
        <v>1183</v>
      </c>
      <c r="C2572" t="s">
        <v>444</v>
      </c>
      <c r="D2572" s="223">
        <v>0</v>
      </c>
    </row>
    <row r="2573" spans="1:4">
      <c r="A2573" s="107">
        <v>2</v>
      </c>
      <c r="B2573" s="1324"/>
      <c r="C2573" t="s">
        <v>445</v>
      </c>
      <c r="D2573" s="223">
        <v>0</v>
      </c>
    </row>
    <row r="2574" spans="1:4">
      <c r="A2574" s="107">
        <v>2</v>
      </c>
      <c r="B2574" s="1324"/>
      <c r="C2574" t="s">
        <v>446</v>
      </c>
      <c r="D2574" s="223">
        <v>3064.4</v>
      </c>
    </row>
    <row r="2575" spans="1:4">
      <c r="A2575" s="107">
        <v>2</v>
      </c>
      <c r="B2575" s="1324"/>
      <c r="C2575" t="s">
        <v>1253</v>
      </c>
      <c r="D2575" s="223">
        <v>0</v>
      </c>
    </row>
    <row r="2576" spans="1:4">
      <c r="A2576" s="107">
        <v>2</v>
      </c>
      <c r="B2576" s="1325"/>
      <c r="C2576" t="s">
        <v>421</v>
      </c>
      <c r="D2576" s="223">
        <v>0</v>
      </c>
    </row>
    <row r="2577" spans="1:4">
      <c r="A2577" s="107">
        <v>2</v>
      </c>
      <c r="B2577" s="1323" t="s">
        <v>1560</v>
      </c>
      <c r="C2577" t="s">
        <v>444</v>
      </c>
      <c r="D2577" s="223">
        <v>0</v>
      </c>
    </row>
    <row r="2578" spans="1:4">
      <c r="A2578" s="107">
        <v>2</v>
      </c>
      <c r="B2578" s="1324"/>
      <c r="C2578" t="s">
        <v>445</v>
      </c>
      <c r="D2578" s="223">
        <v>0</v>
      </c>
    </row>
    <row r="2579" spans="1:4">
      <c r="A2579" s="107">
        <v>2</v>
      </c>
      <c r="B2579" s="1324"/>
      <c r="C2579" t="s">
        <v>446</v>
      </c>
      <c r="D2579" s="223">
        <v>4946.3</v>
      </c>
    </row>
    <row r="2580" spans="1:4">
      <c r="A2580" s="107">
        <v>2</v>
      </c>
      <c r="B2580" s="1324"/>
      <c r="C2580" t="s">
        <v>1253</v>
      </c>
      <c r="D2580" s="223">
        <v>0</v>
      </c>
    </row>
    <row r="2581" spans="1:4">
      <c r="A2581" s="107">
        <v>2</v>
      </c>
      <c r="B2581" s="1325"/>
      <c r="C2581" t="s">
        <v>421</v>
      </c>
      <c r="D2581" s="223">
        <v>0</v>
      </c>
    </row>
    <row r="2582" spans="1:4">
      <c r="A2582" s="107">
        <v>1</v>
      </c>
      <c r="B2582" s="1323" t="s">
        <v>1184</v>
      </c>
      <c r="C2582" t="s">
        <v>444</v>
      </c>
      <c r="D2582" s="223">
        <v>0</v>
      </c>
    </row>
    <row r="2583" spans="1:4">
      <c r="A2583" s="107">
        <v>1</v>
      </c>
      <c r="B2583" s="1324"/>
      <c r="C2583" t="s">
        <v>445</v>
      </c>
      <c r="D2583" s="223">
        <v>0</v>
      </c>
    </row>
    <row r="2584" spans="1:4">
      <c r="A2584" s="107">
        <v>1</v>
      </c>
      <c r="B2584" s="1324"/>
      <c r="C2584" t="s">
        <v>446</v>
      </c>
      <c r="D2584" s="223">
        <v>111894.9</v>
      </c>
    </row>
    <row r="2585" spans="1:4">
      <c r="A2585" s="107">
        <v>1</v>
      </c>
      <c r="B2585" s="1324"/>
      <c r="C2585" t="s">
        <v>1253</v>
      </c>
      <c r="D2585" s="223">
        <v>0</v>
      </c>
    </row>
    <row r="2586" spans="1:4">
      <c r="A2586" s="107">
        <v>1</v>
      </c>
      <c r="B2586" s="1325"/>
      <c r="C2586" t="s">
        <v>421</v>
      </c>
      <c r="D2586" s="223">
        <v>0</v>
      </c>
    </row>
    <row r="2587" spans="1:4">
      <c r="A2587" s="107">
        <v>1</v>
      </c>
      <c r="B2587" s="1323" t="s">
        <v>1185</v>
      </c>
      <c r="C2587" t="s">
        <v>444</v>
      </c>
      <c r="D2587" s="223">
        <v>0</v>
      </c>
    </row>
    <row r="2588" spans="1:4">
      <c r="A2588" s="107">
        <v>1</v>
      </c>
      <c r="B2588" s="1324"/>
      <c r="C2588" t="s">
        <v>445</v>
      </c>
      <c r="D2588" s="223">
        <v>0</v>
      </c>
    </row>
    <row r="2589" spans="1:4">
      <c r="A2589" s="107">
        <v>1</v>
      </c>
      <c r="B2589" s="1324"/>
      <c r="C2589" t="s">
        <v>446</v>
      </c>
      <c r="D2589" s="223">
        <v>76900</v>
      </c>
    </row>
    <row r="2590" spans="1:4">
      <c r="A2590" s="107">
        <v>1</v>
      </c>
      <c r="B2590" s="1324"/>
      <c r="C2590" t="s">
        <v>1253</v>
      </c>
      <c r="D2590" s="223">
        <v>0</v>
      </c>
    </row>
    <row r="2591" spans="1:4">
      <c r="A2591" s="107">
        <v>1</v>
      </c>
      <c r="B2591" s="1325"/>
      <c r="C2591" t="s">
        <v>421</v>
      </c>
      <c r="D2591" s="223">
        <v>0</v>
      </c>
    </row>
    <row r="2592" spans="1:4" ht="12.75" customHeight="1">
      <c r="A2592" s="107">
        <v>1</v>
      </c>
      <c r="B2592" s="1323" t="s">
        <v>1186</v>
      </c>
      <c r="C2592" t="s">
        <v>444</v>
      </c>
      <c r="D2592" s="113">
        <v>1266699.1000000001</v>
      </c>
    </row>
    <row r="2593" spans="1:4">
      <c r="A2593" s="107">
        <v>1</v>
      </c>
      <c r="B2593" s="1324"/>
      <c r="C2593" t="s">
        <v>445</v>
      </c>
      <c r="D2593" s="113">
        <v>342041.7</v>
      </c>
    </row>
    <row r="2594" spans="1:4">
      <c r="A2594" s="107">
        <v>1</v>
      </c>
      <c r="B2594" s="1324"/>
      <c r="C2594" t="s">
        <v>446</v>
      </c>
      <c r="D2594" s="113">
        <v>76522.600000000006</v>
      </c>
    </row>
    <row r="2595" spans="1:4">
      <c r="A2595" s="107">
        <v>1</v>
      </c>
      <c r="B2595" s="1324"/>
      <c r="C2595" t="s">
        <v>1253</v>
      </c>
      <c r="D2595" s="113">
        <v>0</v>
      </c>
    </row>
    <row r="2596" spans="1:4">
      <c r="A2596" s="107">
        <v>1</v>
      </c>
      <c r="B2596" s="1325"/>
      <c r="C2596" t="s">
        <v>421</v>
      </c>
      <c r="D2596" s="113">
        <v>2335.8000000000002</v>
      </c>
    </row>
    <row r="2597" spans="1:4" ht="12.75" customHeight="1">
      <c r="A2597" s="107">
        <v>2</v>
      </c>
      <c r="B2597" s="1323" t="s">
        <v>1187</v>
      </c>
      <c r="C2597" t="s">
        <v>444</v>
      </c>
      <c r="D2597" s="113">
        <v>0</v>
      </c>
    </row>
    <row r="2598" spans="1:4">
      <c r="A2598" s="107">
        <v>2</v>
      </c>
      <c r="B2598" s="1324"/>
      <c r="C2598" t="s">
        <v>445</v>
      </c>
      <c r="D2598" s="113">
        <v>0</v>
      </c>
    </row>
    <row r="2599" spans="1:4">
      <c r="A2599" s="107">
        <v>2</v>
      </c>
      <c r="B2599" s="1324"/>
      <c r="C2599" t="s">
        <v>446</v>
      </c>
      <c r="D2599" s="113">
        <v>14990.6</v>
      </c>
    </row>
    <row r="2600" spans="1:4">
      <c r="A2600" s="107">
        <v>2</v>
      </c>
      <c r="B2600" s="1324"/>
      <c r="C2600" t="s">
        <v>1253</v>
      </c>
      <c r="D2600" s="113">
        <v>0</v>
      </c>
    </row>
    <row r="2601" spans="1:4">
      <c r="A2601" s="107">
        <v>2</v>
      </c>
      <c r="B2601" s="1325"/>
      <c r="C2601" t="s">
        <v>421</v>
      </c>
      <c r="D2601" s="113">
        <v>0</v>
      </c>
    </row>
    <row r="2602" spans="1:4" ht="12.75" customHeight="1">
      <c r="A2602" s="107">
        <v>1</v>
      </c>
      <c r="B2602" s="1323" t="s">
        <v>1188</v>
      </c>
      <c r="C2602" t="s">
        <v>444</v>
      </c>
      <c r="D2602" s="113">
        <v>781961.4</v>
      </c>
    </row>
    <row r="2603" spans="1:4">
      <c r="A2603" s="107">
        <v>1</v>
      </c>
      <c r="B2603" s="1324"/>
      <c r="C2603" t="s">
        <v>445</v>
      </c>
      <c r="D2603" s="113">
        <v>0</v>
      </c>
    </row>
    <row r="2604" spans="1:4">
      <c r="A2604" s="107">
        <v>1</v>
      </c>
      <c r="B2604" s="1324"/>
      <c r="C2604" t="s">
        <v>446</v>
      </c>
      <c r="D2604" s="113">
        <v>31173.1</v>
      </c>
    </row>
    <row r="2605" spans="1:4">
      <c r="A2605" s="107">
        <v>1</v>
      </c>
      <c r="B2605" s="1324"/>
      <c r="C2605" t="s">
        <v>1253</v>
      </c>
      <c r="D2605" s="113">
        <v>0</v>
      </c>
    </row>
    <row r="2606" spans="1:4">
      <c r="A2606" s="107">
        <v>1</v>
      </c>
      <c r="B2606" s="1325"/>
      <c r="C2606" t="s">
        <v>421</v>
      </c>
      <c r="D2606" s="113">
        <v>0</v>
      </c>
    </row>
    <row r="2607" spans="1:4" ht="12.75" customHeight="1">
      <c r="A2607" s="107">
        <v>1</v>
      </c>
      <c r="B2607" s="1323" t="s">
        <v>1189</v>
      </c>
      <c r="C2607" t="s">
        <v>444</v>
      </c>
      <c r="D2607" s="113">
        <v>0</v>
      </c>
    </row>
    <row r="2608" spans="1:4">
      <c r="A2608" s="107">
        <v>1</v>
      </c>
      <c r="B2608" s="1324"/>
      <c r="C2608" t="s">
        <v>445</v>
      </c>
      <c r="D2608" s="113">
        <v>0</v>
      </c>
    </row>
    <row r="2609" spans="1:4">
      <c r="A2609" s="107">
        <v>1</v>
      </c>
      <c r="B2609" s="1324"/>
      <c r="C2609" t="s">
        <v>446</v>
      </c>
      <c r="D2609" s="113">
        <v>59333.4</v>
      </c>
    </row>
    <row r="2610" spans="1:4">
      <c r="A2610" s="107">
        <v>1</v>
      </c>
      <c r="B2610" s="1324"/>
      <c r="C2610" t="s">
        <v>1253</v>
      </c>
      <c r="D2610" s="113">
        <v>0</v>
      </c>
    </row>
    <row r="2611" spans="1:4">
      <c r="A2611" s="107">
        <v>1</v>
      </c>
      <c r="B2611" s="1325"/>
      <c r="C2611" t="s">
        <v>421</v>
      </c>
      <c r="D2611" s="113">
        <v>0</v>
      </c>
    </row>
    <row r="2612" spans="1:4" ht="12.75" customHeight="1">
      <c r="A2612" s="107">
        <v>1</v>
      </c>
      <c r="B2612" s="1323" t="s">
        <v>1190</v>
      </c>
      <c r="C2612" t="s">
        <v>444</v>
      </c>
      <c r="D2612" s="113">
        <v>2015964.8</v>
      </c>
    </row>
    <row r="2613" spans="1:4">
      <c r="A2613" s="107">
        <v>1</v>
      </c>
      <c r="B2613" s="1324"/>
      <c r="C2613" t="s">
        <v>445</v>
      </c>
      <c r="D2613" s="113">
        <v>595395.9</v>
      </c>
    </row>
    <row r="2614" spans="1:4">
      <c r="A2614" s="107">
        <v>1</v>
      </c>
      <c r="B2614" s="1324"/>
      <c r="C2614" t="s">
        <v>446</v>
      </c>
      <c r="D2614" s="113">
        <v>285286.5</v>
      </c>
    </row>
    <row r="2615" spans="1:4">
      <c r="A2615" s="107">
        <v>1</v>
      </c>
      <c r="B2615" s="1324"/>
      <c r="C2615" t="s">
        <v>1253</v>
      </c>
      <c r="D2615" s="113">
        <v>0</v>
      </c>
    </row>
    <row r="2616" spans="1:4">
      <c r="A2616" s="107">
        <v>1</v>
      </c>
      <c r="B2616" s="1325"/>
      <c r="C2616" t="s">
        <v>421</v>
      </c>
      <c r="D2616" s="113">
        <v>49272.3</v>
      </c>
    </row>
    <row r="2617" spans="1:4" ht="12.75" customHeight="1">
      <c r="A2617" s="107">
        <v>2</v>
      </c>
      <c r="B2617" s="1323" t="s">
        <v>1191</v>
      </c>
      <c r="C2617" t="s">
        <v>444</v>
      </c>
      <c r="D2617" s="113">
        <v>0</v>
      </c>
    </row>
    <row r="2618" spans="1:4">
      <c r="A2618" s="107">
        <v>2</v>
      </c>
      <c r="B2618" s="1324"/>
      <c r="C2618" t="s">
        <v>445</v>
      </c>
      <c r="D2618" s="113">
        <v>0</v>
      </c>
    </row>
    <row r="2619" spans="1:4">
      <c r="A2619" s="107">
        <v>2</v>
      </c>
      <c r="B2619" s="1324"/>
      <c r="C2619" t="s">
        <v>446</v>
      </c>
      <c r="D2619" s="113">
        <v>12633.8</v>
      </c>
    </row>
    <row r="2620" spans="1:4">
      <c r="A2620" s="107">
        <v>2</v>
      </c>
      <c r="B2620" s="1324"/>
      <c r="C2620" t="s">
        <v>1253</v>
      </c>
      <c r="D2620" s="113">
        <v>0</v>
      </c>
    </row>
    <row r="2621" spans="1:4">
      <c r="A2621" s="107">
        <v>2</v>
      </c>
      <c r="B2621" s="1325"/>
      <c r="C2621" t="s">
        <v>421</v>
      </c>
      <c r="D2621" s="113">
        <v>0</v>
      </c>
    </row>
    <row r="2622" spans="1:4">
      <c r="A2622" s="107">
        <v>1</v>
      </c>
      <c r="B2622" s="1323" t="s">
        <v>1192</v>
      </c>
      <c r="C2622" t="s">
        <v>444</v>
      </c>
      <c r="D2622" s="113">
        <v>47477.8</v>
      </c>
    </row>
    <row r="2623" spans="1:4">
      <c r="A2623" s="107">
        <v>1</v>
      </c>
      <c r="B2623" s="1324"/>
      <c r="C2623" t="s">
        <v>445</v>
      </c>
      <c r="D2623" s="113">
        <v>0</v>
      </c>
    </row>
    <row r="2624" spans="1:4">
      <c r="A2624" s="107">
        <v>1</v>
      </c>
      <c r="B2624" s="1324"/>
      <c r="C2624" t="s">
        <v>446</v>
      </c>
      <c r="D2624" s="113">
        <v>31489</v>
      </c>
    </row>
    <row r="2625" spans="1:4">
      <c r="A2625" s="107">
        <v>1</v>
      </c>
      <c r="B2625" s="1324"/>
      <c r="C2625" t="s">
        <v>1253</v>
      </c>
      <c r="D2625" s="113">
        <v>0</v>
      </c>
    </row>
    <row r="2626" spans="1:4">
      <c r="A2626" s="107">
        <v>1</v>
      </c>
      <c r="B2626" s="1325"/>
      <c r="C2626" t="s">
        <v>421</v>
      </c>
      <c r="D2626" s="113">
        <v>0</v>
      </c>
    </row>
    <row r="2627" spans="1:4" ht="12.75" customHeight="1">
      <c r="A2627" s="107">
        <v>2</v>
      </c>
      <c r="B2627" s="1323" t="s">
        <v>1193</v>
      </c>
      <c r="C2627" t="s">
        <v>444</v>
      </c>
      <c r="D2627" s="113">
        <v>0</v>
      </c>
    </row>
    <row r="2628" spans="1:4">
      <c r="A2628" s="107">
        <v>2</v>
      </c>
      <c r="B2628" s="1324"/>
      <c r="C2628" t="s">
        <v>445</v>
      </c>
      <c r="D2628" s="113">
        <v>0</v>
      </c>
    </row>
    <row r="2629" spans="1:4">
      <c r="A2629" s="107">
        <v>2</v>
      </c>
      <c r="B2629" s="1324"/>
      <c r="C2629" t="s">
        <v>446</v>
      </c>
      <c r="D2629" s="113">
        <v>23866.799999999999</v>
      </c>
    </row>
    <row r="2630" spans="1:4">
      <c r="A2630" s="107">
        <v>2</v>
      </c>
      <c r="B2630" s="1324"/>
      <c r="C2630" t="s">
        <v>1253</v>
      </c>
      <c r="D2630" s="113">
        <v>0</v>
      </c>
    </row>
    <row r="2631" spans="1:4">
      <c r="A2631" s="107">
        <v>2</v>
      </c>
      <c r="B2631" s="1325"/>
      <c r="C2631" t="s">
        <v>421</v>
      </c>
      <c r="D2631" s="113">
        <v>0</v>
      </c>
    </row>
    <row r="2632" spans="1:4" ht="12.75" customHeight="1">
      <c r="A2632" s="107">
        <v>4</v>
      </c>
      <c r="B2632" s="1323" t="s">
        <v>1194</v>
      </c>
      <c r="C2632" t="s">
        <v>444</v>
      </c>
      <c r="D2632" s="113">
        <v>1159757.8999999999</v>
      </c>
    </row>
    <row r="2633" spans="1:4">
      <c r="A2633" s="107">
        <v>4</v>
      </c>
      <c r="B2633" s="1324"/>
      <c r="C2633" t="s">
        <v>445</v>
      </c>
      <c r="D2633" s="113">
        <v>0</v>
      </c>
    </row>
    <row r="2634" spans="1:4">
      <c r="A2634" s="107">
        <v>4</v>
      </c>
      <c r="B2634" s="1324"/>
      <c r="C2634" t="s">
        <v>446</v>
      </c>
      <c r="D2634" s="113">
        <v>0</v>
      </c>
    </row>
    <row r="2635" spans="1:4">
      <c r="A2635" s="107">
        <v>4</v>
      </c>
      <c r="B2635" s="1324"/>
      <c r="C2635" t="s">
        <v>1253</v>
      </c>
      <c r="D2635" s="113">
        <v>0</v>
      </c>
    </row>
    <row r="2636" spans="1:4">
      <c r="A2636" s="107">
        <v>4</v>
      </c>
      <c r="B2636" s="1325"/>
      <c r="C2636" t="s">
        <v>421</v>
      </c>
      <c r="D2636" s="113">
        <v>0</v>
      </c>
    </row>
    <row r="2637" spans="1:4" ht="12.75" customHeight="1">
      <c r="A2637" s="107">
        <v>2</v>
      </c>
      <c r="B2637" s="1323" t="s">
        <v>1195</v>
      </c>
      <c r="C2637" t="s">
        <v>444</v>
      </c>
      <c r="D2637" s="113">
        <v>0</v>
      </c>
    </row>
    <row r="2638" spans="1:4">
      <c r="A2638" s="107">
        <v>2</v>
      </c>
      <c r="B2638" s="1324"/>
      <c r="C2638" t="s">
        <v>445</v>
      </c>
      <c r="D2638" s="113">
        <v>0</v>
      </c>
    </row>
    <row r="2639" spans="1:4">
      <c r="A2639" s="107">
        <v>2</v>
      </c>
      <c r="B2639" s="1324"/>
      <c r="C2639" t="s">
        <v>446</v>
      </c>
      <c r="D2639" s="113">
        <v>13008</v>
      </c>
    </row>
    <row r="2640" spans="1:4">
      <c r="A2640" s="107">
        <v>2</v>
      </c>
      <c r="B2640" s="1324"/>
      <c r="C2640" t="s">
        <v>1253</v>
      </c>
      <c r="D2640" s="113">
        <v>0</v>
      </c>
    </row>
    <row r="2641" spans="1:4">
      <c r="A2641" s="107">
        <v>2</v>
      </c>
      <c r="B2641" s="1325"/>
      <c r="C2641" t="s">
        <v>421</v>
      </c>
      <c r="D2641" s="113">
        <v>0</v>
      </c>
    </row>
    <row r="2642" spans="1:4" ht="12.75" customHeight="1">
      <c r="A2642" s="107">
        <v>2</v>
      </c>
      <c r="B2642" s="1323" t="s">
        <v>1196</v>
      </c>
      <c r="C2642" t="s">
        <v>444</v>
      </c>
      <c r="D2642" s="113">
        <v>0</v>
      </c>
    </row>
    <row r="2643" spans="1:4">
      <c r="A2643" s="107">
        <v>2</v>
      </c>
      <c r="B2643" s="1324"/>
      <c r="C2643" t="s">
        <v>445</v>
      </c>
      <c r="D2643" s="113">
        <v>0</v>
      </c>
    </row>
    <row r="2644" spans="1:4">
      <c r="A2644" s="107">
        <v>2</v>
      </c>
      <c r="B2644" s="1324"/>
      <c r="C2644" t="s">
        <v>446</v>
      </c>
      <c r="D2644" s="113">
        <v>25709</v>
      </c>
    </row>
    <row r="2645" spans="1:4">
      <c r="A2645" s="107">
        <v>2</v>
      </c>
      <c r="B2645" s="1324"/>
      <c r="C2645" t="s">
        <v>1253</v>
      </c>
      <c r="D2645" s="113">
        <v>0</v>
      </c>
    </row>
    <row r="2646" spans="1:4">
      <c r="A2646" s="107">
        <v>2</v>
      </c>
      <c r="B2646" s="1325"/>
      <c r="C2646" t="s">
        <v>421</v>
      </c>
      <c r="D2646" s="113">
        <v>0</v>
      </c>
    </row>
    <row r="2647" spans="1:4" ht="12.75" customHeight="1">
      <c r="A2647" s="107">
        <v>2</v>
      </c>
      <c r="B2647" s="1323" t="s">
        <v>1197</v>
      </c>
      <c r="C2647" t="s">
        <v>444</v>
      </c>
      <c r="D2647" s="113">
        <v>0</v>
      </c>
    </row>
    <row r="2648" spans="1:4">
      <c r="A2648" s="107">
        <v>2</v>
      </c>
      <c r="B2648" s="1324"/>
      <c r="C2648" t="s">
        <v>445</v>
      </c>
      <c r="D2648" s="113">
        <v>0</v>
      </c>
    </row>
    <row r="2649" spans="1:4">
      <c r="A2649" s="107">
        <v>2</v>
      </c>
      <c r="B2649" s="1324"/>
      <c r="C2649" t="s">
        <v>446</v>
      </c>
      <c r="D2649" s="113">
        <v>13502.2</v>
      </c>
    </row>
    <row r="2650" spans="1:4">
      <c r="A2650" s="107">
        <v>2</v>
      </c>
      <c r="B2650" s="1324"/>
      <c r="C2650" t="s">
        <v>1253</v>
      </c>
      <c r="D2650" s="113">
        <v>0</v>
      </c>
    </row>
    <row r="2651" spans="1:4">
      <c r="A2651" s="107">
        <v>2</v>
      </c>
      <c r="B2651" s="1325"/>
      <c r="C2651" t="s">
        <v>421</v>
      </c>
      <c r="D2651" s="113">
        <v>0</v>
      </c>
    </row>
    <row r="2652" spans="1:4" ht="24" customHeight="1">
      <c r="A2652" s="107">
        <v>9</v>
      </c>
      <c r="B2652" s="1323" t="s">
        <v>1198</v>
      </c>
      <c r="C2652" t="s">
        <v>444</v>
      </c>
      <c r="D2652" s="113">
        <v>200838.3</v>
      </c>
    </row>
    <row r="2653" spans="1:4" ht="12.75" customHeight="1">
      <c r="A2653" s="107">
        <v>9</v>
      </c>
      <c r="B2653" s="1324"/>
      <c r="C2653" t="s">
        <v>445</v>
      </c>
      <c r="D2653" s="113">
        <v>3000</v>
      </c>
    </row>
    <row r="2654" spans="1:4">
      <c r="A2654" s="107">
        <v>9</v>
      </c>
      <c r="B2654" s="1324"/>
      <c r="C2654" t="s">
        <v>446</v>
      </c>
      <c r="D2654" s="113">
        <v>13970.9</v>
      </c>
    </row>
    <row r="2655" spans="1:4">
      <c r="A2655" s="107">
        <v>9</v>
      </c>
      <c r="B2655" s="1324"/>
      <c r="C2655" t="s">
        <v>1253</v>
      </c>
      <c r="D2655" s="113">
        <v>0</v>
      </c>
    </row>
    <row r="2656" spans="1:4">
      <c r="A2656" s="107">
        <v>9</v>
      </c>
      <c r="B2656" s="1325"/>
      <c r="C2656" t="s">
        <v>421</v>
      </c>
      <c r="D2656" s="113">
        <v>0</v>
      </c>
    </row>
    <row r="2657" spans="1:4" ht="12.75" customHeight="1">
      <c r="A2657" s="107">
        <v>11</v>
      </c>
      <c r="B2657" s="1323" t="s">
        <v>1199</v>
      </c>
      <c r="C2657" t="s">
        <v>444</v>
      </c>
      <c r="D2657" s="113">
        <v>1177987.1000000001</v>
      </c>
    </row>
    <row r="2658" spans="1:4">
      <c r="A2658" s="107">
        <v>11</v>
      </c>
      <c r="B2658" s="1324"/>
      <c r="C2658" t="s">
        <v>445</v>
      </c>
      <c r="D2658" s="113">
        <v>856528.4</v>
      </c>
    </row>
    <row r="2659" spans="1:4">
      <c r="A2659" s="107">
        <v>11</v>
      </c>
      <c r="B2659" s="1324"/>
      <c r="C2659" t="s">
        <v>446</v>
      </c>
      <c r="D2659" s="113">
        <v>13495.6</v>
      </c>
    </row>
    <row r="2660" spans="1:4">
      <c r="A2660" s="107">
        <v>11</v>
      </c>
      <c r="B2660" s="1324"/>
      <c r="C2660" t="s">
        <v>1253</v>
      </c>
      <c r="D2660" s="113">
        <v>0</v>
      </c>
    </row>
    <row r="2661" spans="1:4">
      <c r="A2661" s="107">
        <v>11</v>
      </c>
      <c r="B2661" s="1325"/>
      <c r="C2661" t="s">
        <v>421</v>
      </c>
      <c r="D2661" s="113">
        <v>0</v>
      </c>
    </row>
    <row r="2662" spans="1:4" ht="12.75" customHeight="1">
      <c r="A2662" s="107">
        <v>2</v>
      </c>
      <c r="B2662" s="1323" t="s">
        <v>1200</v>
      </c>
      <c r="C2662" t="s">
        <v>444</v>
      </c>
      <c r="D2662" s="113">
        <v>0</v>
      </c>
    </row>
    <row r="2663" spans="1:4">
      <c r="A2663" s="107">
        <v>2</v>
      </c>
      <c r="B2663" s="1324"/>
      <c r="C2663" t="s">
        <v>445</v>
      </c>
      <c r="D2663" s="113">
        <v>0</v>
      </c>
    </row>
    <row r="2664" spans="1:4">
      <c r="A2664" s="107">
        <v>2</v>
      </c>
      <c r="B2664" s="1324"/>
      <c r="C2664" t="s">
        <v>446</v>
      </c>
      <c r="D2664" s="113">
        <v>19390.7</v>
      </c>
    </row>
    <row r="2665" spans="1:4">
      <c r="A2665" s="107">
        <v>2</v>
      </c>
      <c r="B2665" s="1324"/>
      <c r="C2665" t="s">
        <v>1253</v>
      </c>
      <c r="D2665" s="113">
        <v>0</v>
      </c>
    </row>
    <row r="2666" spans="1:4">
      <c r="A2666" s="107">
        <v>2</v>
      </c>
      <c r="B2666" s="1325"/>
      <c r="C2666" t="s">
        <v>421</v>
      </c>
      <c r="D2666" s="113">
        <v>0</v>
      </c>
    </row>
    <row r="2667" spans="1:4" ht="12.75" customHeight="1">
      <c r="A2667" s="107">
        <v>1</v>
      </c>
      <c r="B2667" s="1323" t="s">
        <v>1201</v>
      </c>
      <c r="C2667" t="s">
        <v>444</v>
      </c>
      <c r="D2667" s="113">
        <v>477415.4</v>
      </c>
    </row>
    <row r="2668" spans="1:4">
      <c r="A2668" s="107">
        <v>1</v>
      </c>
      <c r="B2668" s="1324"/>
      <c r="C2668" t="s">
        <v>445</v>
      </c>
      <c r="D2668" s="113">
        <v>0</v>
      </c>
    </row>
    <row r="2669" spans="1:4">
      <c r="A2669" s="107">
        <v>1</v>
      </c>
      <c r="B2669" s="1324"/>
      <c r="C2669" t="s">
        <v>446</v>
      </c>
      <c r="D2669" s="113">
        <v>42402.7</v>
      </c>
    </row>
    <row r="2670" spans="1:4">
      <c r="A2670" s="107">
        <v>1</v>
      </c>
      <c r="B2670" s="1324"/>
      <c r="C2670" t="s">
        <v>1253</v>
      </c>
      <c r="D2670" s="113">
        <v>0</v>
      </c>
    </row>
    <row r="2671" spans="1:4">
      <c r="A2671" s="107">
        <v>1</v>
      </c>
      <c r="B2671" s="1325"/>
      <c r="C2671" t="s">
        <v>421</v>
      </c>
      <c r="D2671" s="113">
        <v>0</v>
      </c>
    </row>
    <row r="2672" spans="1:4" ht="12.75" customHeight="1">
      <c r="A2672" s="107">
        <v>1</v>
      </c>
      <c r="B2672" s="1323" t="s">
        <v>1202</v>
      </c>
      <c r="C2672" t="s">
        <v>444</v>
      </c>
      <c r="D2672" s="113">
        <v>385659.7</v>
      </c>
    </row>
    <row r="2673" spans="1:4">
      <c r="A2673" s="107">
        <v>1</v>
      </c>
      <c r="B2673" s="1324"/>
      <c r="C2673" t="s">
        <v>445</v>
      </c>
      <c r="D2673" s="113">
        <v>0</v>
      </c>
    </row>
    <row r="2674" spans="1:4">
      <c r="A2674" s="107">
        <v>1</v>
      </c>
      <c r="B2674" s="1324"/>
      <c r="C2674" t="s">
        <v>446</v>
      </c>
      <c r="D2674" s="113">
        <v>11956.8</v>
      </c>
    </row>
    <row r="2675" spans="1:4">
      <c r="A2675" s="107">
        <v>1</v>
      </c>
      <c r="B2675" s="1324"/>
      <c r="C2675" t="s">
        <v>1253</v>
      </c>
      <c r="D2675" s="113">
        <v>0</v>
      </c>
    </row>
    <row r="2676" spans="1:4">
      <c r="A2676" s="107">
        <v>1</v>
      </c>
      <c r="B2676" s="1325"/>
      <c r="C2676" t="s">
        <v>421</v>
      </c>
      <c r="D2676" s="113">
        <v>0</v>
      </c>
    </row>
    <row r="2677" spans="1:4" ht="12.75" customHeight="1">
      <c r="A2677" s="107">
        <v>1</v>
      </c>
      <c r="B2677" s="1323" t="s">
        <v>1203</v>
      </c>
      <c r="C2677" t="s">
        <v>444</v>
      </c>
      <c r="D2677" s="113">
        <v>0</v>
      </c>
    </row>
    <row r="2678" spans="1:4">
      <c r="A2678" s="107">
        <v>1</v>
      </c>
      <c r="B2678" s="1324"/>
      <c r="C2678" t="s">
        <v>445</v>
      </c>
      <c r="D2678" s="113">
        <v>0</v>
      </c>
    </row>
    <row r="2679" spans="1:4">
      <c r="A2679" s="107">
        <v>1</v>
      </c>
      <c r="B2679" s="1324"/>
      <c r="C2679" t="s">
        <v>446</v>
      </c>
      <c r="D2679" s="113">
        <v>6325.2</v>
      </c>
    </row>
    <row r="2680" spans="1:4">
      <c r="A2680" s="107">
        <v>1</v>
      </c>
      <c r="B2680" s="1324"/>
      <c r="C2680" t="s">
        <v>1253</v>
      </c>
      <c r="D2680" s="113">
        <v>0</v>
      </c>
    </row>
    <row r="2681" spans="1:4">
      <c r="A2681" s="107">
        <v>1</v>
      </c>
      <c r="B2681" s="1325"/>
      <c r="C2681" t="s">
        <v>421</v>
      </c>
      <c r="D2681" s="113">
        <v>0</v>
      </c>
    </row>
    <row r="2682" spans="1:4" ht="12.75" customHeight="1">
      <c r="A2682" s="107">
        <v>1</v>
      </c>
      <c r="B2682" s="1323" t="s">
        <v>1204</v>
      </c>
      <c r="C2682" t="s">
        <v>444</v>
      </c>
      <c r="D2682" s="113">
        <v>1368109.9</v>
      </c>
    </row>
    <row r="2683" spans="1:4">
      <c r="A2683" s="107">
        <v>1</v>
      </c>
      <c r="B2683" s="1324"/>
      <c r="C2683" t="s">
        <v>445</v>
      </c>
      <c r="D2683" s="113">
        <v>270908.79999999999</v>
      </c>
    </row>
    <row r="2684" spans="1:4">
      <c r="A2684" s="107">
        <v>1</v>
      </c>
      <c r="B2684" s="1324"/>
      <c r="C2684" t="s">
        <v>446</v>
      </c>
      <c r="D2684" s="113">
        <v>0</v>
      </c>
    </row>
    <row r="2685" spans="1:4">
      <c r="A2685" s="107">
        <v>1</v>
      </c>
      <c r="B2685" s="1324"/>
      <c r="C2685" t="s">
        <v>1253</v>
      </c>
      <c r="D2685" s="113">
        <v>0</v>
      </c>
    </row>
    <row r="2686" spans="1:4">
      <c r="A2686" s="107">
        <v>1</v>
      </c>
      <c r="B2686" s="1325"/>
      <c r="C2686" t="s">
        <v>421</v>
      </c>
      <c r="D2686" s="113">
        <v>28439.3</v>
      </c>
    </row>
    <row r="2687" spans="1:4">
      <c r="A2687" s="107">
        <v>1</v>
      </c>
      <c r="B2687" s="1323" t="s">
        <v>1205</v>
      </c>
      <c r="C2687" t="s">
        <v>444</v>
      </c>
      <c r="D2687" s="113">
        <v>266584.40000000002</v>
      </c>
    </row>
    <row r="2688" spans="1:4">
      <c r="A2688" s="107">
        <v>1</v>
      </c>
      <c r="B2688" s="1324"/>
      <c r="C2688" t="s">
        <v>445</v>
      </c>
      <c r="D2688" s="113">
        <v>0</v>
      </c>
    </row>
    <row r="2689" spans="1:4">
      <c r="A2689" s="107">
        <v>1</v>
      </c>
      <c r="B2689" s="1324"/>
      <c r="C2689" t="s">
        <v>446</v>
      </c>
      <c r="D2689" s="113">
        <v>42720.9</v>
      </c>
    </row>
    <row r="2690" spans="1:4">
      <c r="A2690" s="107">
        <v>1</v>
      </c>
      <c r="B2690" s="1324"/>
      <c r="C2690" t="s">
        <v>1253</v>
      </c>
      <c r="D2690" s="113">
        <v>0</v>
      </c>
    </row>
    <row r="2691" spans="1:4">
      <c r="A2691" s="107">
        <v>1</v>
      </c>
      <c r="B2691" s="1325"/>
      <c r="C2691" t="s">
        <v>421</v>
      </c>
      <c r="D2691" s="113">
        <v>0</v>
      </c>
    </row>
    <row r="2692" spans="1:4" ht="12.75" customHeight="1">
      <c r="A2692" s="107">
        <v>1</v>
      </c>
      <c r="B2692" s="1323" t="s">
        <v>1206</v>
      </c>
      <c r="C2692" t="s">
        <v>444</v>
      </c>
      <c r="D2692" s="113">
        <v>621153.1</v>
      </c>
    </row>
    <row r="2693" spans="1:4">
      <c r="A2693" s="107">
        <v>1</v>
      </c>
      <c r="B2693" s="1324"/>
      <c r="C2693" t="s">
        <v>445</v>
      </c>
      <c r="D2693" s="113">
        <v>0</v>
      </c>
    </row>
    <row r="2694" spans="1:4">
      <c r="A2694" s="107">
        <v>1</v>
      </c>
      <c r="B2694" s="1324"/>
      <c r="C2694" t="s">
        <v>446</v>
      </c>
      <c r="D2694" s="113">
        <v>40835.699999999997</v>
      </c>
    </row>
    <row r="2695" spans="1:4">
      <c r="A2695" s="107">
        <v>1</v>
      </c>
      <c r="B2695" s="1324"/>
      <c r="C2695" t="s">
        <v>1253</v>
      </c>
      <c r="D2695" s="113">
        <v>0</v>
      </c>
    </row>
    <row r="2696" spans="1:4">
      <c r="A2696" s="107">
        <v>1</v>
      </c>
      <c r="B2696" s="1325"/>
      <c r="C2696" t="s">
        <v>421</v>
      </c>
      <c r="D2696" s="113">
        <v>0</v>
      </c>
    </row>
    <row r="2697" spans="1:4" ht="12.75" customHeight="1">
      <c r="A2697" s="107">
        <v>2</v>
      </c>
      <c r="B2697" s="1323" t="s">
        <v>1207</v>
      </c>
      <c r="C2697" t="s">
        <v>444</v>
      </c>
      <c r="D2697" s="113">
        <v>0</v>
      </c>
    </row>
    <row r="2698" spans="1:4">
      <c r="A2698" s="107">
        <v>2</v>
      </c>
      <c r="B2698" s="1324"/>
      <c r="C2698" t="s">
        <v>445</v>
      </c>
      <c r="D2698" s="113">
        <v>0</v>
      </c>
    </row>
    <row r="2699" spans="1:4">
      <c r="A2699" s="107">
        <v>2</v>
      </c>
      <c r="B2699" s="1324"/>
      <c r="C2699" t="s">
        <v>446</v>
      </c>
      <c r="D2699" s="113">
        <v>53441.2</v>
      </c>
    </row>
    <row r="2700" spans="1:4">
      <c r="A2700" s="107">
        <v>2</v>
      </c>
      <c r="B2700" s="1324"/>
      <c r="C2700" t="s">
        <v>1253</v>
      </c>
      <c r="D2700" s="113">
        <v>0</v>
      </c>
    </row>
    <row r="2701" spans="1:4">
      <c r="A2701" s="107">
        <v>2</v>
      </c>
      <c r="B2701" s="1325"/>
      <c r="C2701" t="s">
        <v>421</v>
      </c>
      <c r="D2701" s="113">
        <v>0</v>
      </c>
    </row>
    <row r="2702" spans="1:4" ht="12.75" customHeight="1">
      <c r="A2702" s="107">
        <v>1</v>
      </c>
      <c r="B2702" s="1323" t="s">
        <v>1208</v>
      </c>
      <c r="C2702" t="s">
        <v>444</v>
      </c>
      <c r="D2702" s="113">
        <v>606243</v>
      </c>
    </row>
    <row r="2703" spans="1:4">
      <c r="A2703" s="107">
        <v>1</v>
      </c>
      <c r="B2703" s="1324"/>
      <c r="C2703" t="s">
        <v>445</v>
      </c>
      <c r="D2703" s="113">
        <v>0</v>
      </c>
    </row>
    <row r="2704" spans="1:4">
      <c r="A2704" s="107">
        <v>1</v>
      </c>
      <c r="B2704" s="1324"/>
      <c r="C2704" t="s">
        <v>446</v>
      </c>
      <c r="D2704" s="113">
        <v>49018.6</v>
      </c>
    </row>
    <row r="2705" spans="1:4">
      <c r="A2705" s="107">
        <v>1</v>
      </c>
      <c r="B2705" s="1324"/>
      <c r="C2705" t="s">
        <v>1253</v>
      </c>
      <c r="D2705" s="113">
        <v>0</v>
      </c>
    </row>
    <row r="2706" spans="1:4">
      <c r="A2706" s="107">
        <v>1</v>
      </c>
      <c r="B2706" s="1325"/>
      <c r="C2706" t="s">
        <v>421</v>
      </c>
      <c r="D2706" s="113">
        <v>0</v>
      </c>
    </row>
    <row r="2707" spans="1:4">
      <c r="A2707" s="107">
        <v>1</v>
      </c>
      <c r="B2707" s="1323" t="s">
        <v>1209</v>
      </c>
      <c r="C2707" t="s">
        <v>444</v>
      </c>
      <c r="D2707" s="113">
        <v>224305.8</v>
      </c>
    </row>
    <row r="2708" spans="1:4">
      <c r="A2708" s="107">
        <v>1</v>
      </c>
      <c r="B2708" s="1324"/>
      <c r="C2708" t="s">
        <v>445</v>
      </c>
      <c r="D2708" s="113">
        <v>0</v>
      </c>
    </row>
    <row r="2709" spans="1:4">
      <c r="A2709" s="107">
        <v>1</v>
      </c>
      <c r="B2709" s="1324"/>
      <c r="C2709" t="s">
        <v>446</v>
      </c>
      <c r="D2709" s="113">
        <v>67695.3</v>
      </c>
    </row>
    <row r="2710" spans="1:4">
      <c r="A2710" s="107">
        <v>1</v>
      </c>
      <c r="B2710" s="1324"/>
      <c r="C2710" t="s">
        <v>1253</v>
      </c>
      <c r="D2710" s="113">
        <v>0</v>
      </c>
    </row>
    <row r="2711" spans="1:4">
      <c r="A2711" s="107">
        <v>1</v>
      </c>
      <c r="B2711" s="1325"/>
      <c r="C2711" t="s">
        <v>421</v>
      </c>
      <c r="D2711" s="113">
        <v>0</v>
      </c>
    </row>
    <row r="2712" spans="1:4" ht="12.75" customHeight="1">
      <c r="A2712" s="107">
        <v>7</v>
      </c>
      <c r="B2712" s="1323" t="s">
        <v>1210</v>
      </c>
      <c r="C2712" t="s">
        <v>444</v>
      </c>
      <c r="D2712" s="113">
        <v>0</v>
      </c>
    </row>
    <row r="2713" spans="1:4">
      <c r="A2713" s="107">
        <v>7</v>
      </c>
      <c r="B2713" s="1324"/>
      <c r="C2713" t="s">
        <v>445</v>
      </c>
      <c r="D2713" s="113">
        <v>0</v>
      </c>
    </row>
    <row r="2714" spans="1:4">
      <c r="A2714" s="107">
        <v>7</v>
      </c>
      <c r="B2714" s="1324"/>
      <c r="C2714" t="s">
        <v>446</v>
      </c>
      <c r="D2714" s="113">
        <v>10165.5</v>
      </c>
    </row>
    <row r="2715" spans="1:4">
      <c r="A2715" s="107">
        <v>7</v>
      </c>
      <c r="B2715" s="1324"/>
      <c r="C2715" t="s">
        <v>1253</v>
      </c>
      <c r="D2715" s="113">
        <v>0</v>
      </c>
    </row>
    <row r="2716" spans="1:4">
      <c r="A2716" s="107">
        <v>7</v>
      </c>
      <c r="B2716" s="1325"/>
      <c r="C2716" t="s">
        <v>421</v>
      </c>
      <c r="D2716" s="113">
        <v>0</v>
      </c>
    </row>
    <row r="2717" spans="1:4" ht="12.75" customHeight="1">
      <c r="A2717" s="107">
        <v>4</v>
      </c>
      <c r="B2717" s="1323" t="s">
        <v>1211</v>
      </c>
      <c r="C2717" t="s">
        <v>444</v>
      </c>
      <c r="D2717" s="113">
        <v>714698</v>
      </c>
    </row>
    <row r="2718" spans="1:4">
      <c r="A2718" s="107">
        <v>4</v>
      </c>
      <c r="B2718" s="1324"/>
      <c r="C2718" t="s">
        <v>445</v>
      </c>
      <c r="D2718" s="113">
        <v>0</v>
      </c>
    </row>
    <row r="2719" spans="1:4">
      <c r="A2719" s="107">
        <v>4</v>
      </c>
      <c r="B2719" s="1324"/>
      <c r="C2719" t="s">
        <v>446</v>
      </c>
      <c r="D2719" s="113">
        <v>0</v>
      </c>
    </row>
    <row r="2720" spans="1:4">
      <c r="A2720" s="107">
        <v>4</v>
      </c>
      <c r="B2720" s="1324"/>
      <c r="C2720" t="s">
        <v>1253</v>
      </c>
      <c r="D2720" s="113">
        <v>0</v>
      </c>
    </row>
    <row r="2721" spans="1:4">
      <c r="A2721" s="107">
        <v>4</v>
      </c>
      <c r="B2721" s="1325"/>
      <c r="C2721" t="s">
        <v>421</v>
      </c>
      <c r="D2721" s="113">
        <v>0</v>
      </c>
    </row>
    <row r="2722" spans="1:4" ht="12.75" customHeight="1">
      <c r="A2722" s="107">
        <v>7</v>
      </c>
      <c r="B2722" s="1323" t="s">
        <v>1212</v>
      </c>
      <c r="C2722" t="s">
        <v>444</v>
      </c>
      <c r="D2722" s="113">
        <v>169164</v>
      </c>
    </row>
    <row r="2723" spans="1:4">
      <c r="A2723" s="107">
        <v>7</v>
      </c>
      <c r="B2723" s="1324"/>
      <c r="C2723" t="s">
        <v>445</v>
      </c>
      <c r="D2723" s="113">
        <v>6752.9</v>
      </c>
    </row>
    <row r="2724" spans="1:4">
      <c r="A2724" s="107">
        <v>7</v>
      </c>
      <c r="B2724" s="1324"/>
      <c r="C2724" t="s">
        <v>446</v>
      </c>
      <c r="D2724" s="113">
        <v>52646.400000000001</v>
      </c>
    </row>
    <row r="2725" spans="1:4">
      <c r="A2725" s="107">
        <v>7</v>
      </c>
      <c r="B2725" s="1324"/>
      <c r="C2725" t="s">
        <v>1253</v>
      </c>
      <c r="D2725" s="113">
        <v>0</v>
      </c>
    </row>
    <row r="2726" spans="1:4">
      <c r="A2726" s="107">
        <v>7</v>
      </c>
      <c r="B2726" s="1325"/>
      <c r="C2726" t="s">
        <v>421</v>
      </c>
      <c r="D2726" s="113">
        <v>0</v>
      </c>
    </row>
    <row r="2727" spans="1:4">
      <c r="A2727" s="107">
        <v>2</v>
      </c>
      <c r="B2727" s="1323" t="s">
        <v>1213</v>
      </c>
      <c r="C2727" t="s">
        <v>444</v>
      </c>
      <c r="D2727" s="113">
        <v>0</v>
      </c>
    </row>
    <row r="2728" spans="1:4">
      <c r="A2728" s="107">
        <v>2</v>
      </c>
      <c r="B2728" s="1324"/>
      <c r="C2728" t="s">
        <v>445</v>
      </c>
      <c r="D2728" s="113">
        <v>0</v>
      </c>
    </row>
    <row r="2729" spans="1:4">
      <c r="A2729" s="107">
        <v>2</v>
      </c>
      <c r="B2729" s="1324"/>
      <c r="C2729" t="s">
        <v>446</v>
      </c>
      <c r="D2729" s="113">
        <v>3259</v>
      </c>
    </row>
    <row r="2730" spans="1:4">
      <c r="A2730" s="107">
        <v>2</v>
      </c>
      <c r="B2730" s="1324"/>
      <c r="C2730" t="s">
        <v>1253</v>
      </c>
      <c r="D2730" s="113">
        <v>0</v>
      </c>
    </row>
    <row r="2731" spans="1:4">
      <c r="A2731" s="107">
        <v>2</v>
      </c>
      <c r="B2731" s="1325"/>
      <c r="C2731" t="s">
        <v>421</v>
      </c>
      <c r="D2731" s="113">
        <v>0</v>
      </c>
    </row>
    <row r="2732" spans="1:4" ht="12.75" customHeight="1">
      <c r="A2732" s="107">
        <v>1</v>
      </c>
      <c r="B2732" s="1323" t="s">
        <v>1214</v>
      </c>
      <c r="C2732" t="s">
        <v>444</v>
      </c>
      <c r="D2732" s="113">
        <v>162611.79999999999</v>
      </c>
    </row>
    <row r="2733" spans="1:4">
      <c r="A2733" s="107">
        <v>1</v>
      </c>
      <c r="B2733" s="1324"/>
      <c r="C2733" t="s">
        <v>445</v>
      </c>
      <c r="D2733" s="113">
        <v>0</v>
      </c>
    </row>
    <row r="2734" spans="1:4">
      <c r="A2734" s="107">
        <v>1</v>
      </c>
      <c r="B2734" s="1324"/>
      <c r="C2734" t="s">
        <v>446</v>
      </c>
      <c r="D2734" s="113">
        <v>0</v>
      </c>
    </row>
    <row r="2735" spans="1:4">
      <c r="A2735" s="107">
        <v>1</v>
      </c>
      <c r="B2735" s="1324"/>
      <c r="C2735" t="s">
        <v>1253</v>
      </c>
      <c r="D2735" s="113">
        <v>0</v>
      </c>
    </row>
    <row r="2736" spans="1:4">
      <c r="A2736" s="107">
        <v>1</v>
      </c>
      <c r="B2736" s="1325"/>
      <c r="C2736" t="s">
        <v>421</v>
      </c>
      <c r="D2736" s="113">
        <v>0</v>
      </c>
    </row>
    <row r="2737" spans="1:4">
      <c r="A2737" s="107">
        <v>2</v>
      </c>
      <c r="B2737" s="1323" t="s">
        <v>1215</v>
      </c>
      <c r="C2737" t="s">
        <v>444</v>
      </c>
      <c r="D2737" s="113">
        <v>0</v>
      </c>
    </row>
    <row r="2738" spans="1:4">
      <c r="A2738" s="107">
        <v>2</v>
      </c>
      <c r="B2738" s="1324"/>
      <c r="C2738" t="s">
        <v>445</v>
      </c>
      <c r="D2738" s="113">
        <v>0</v>
      </c>
    </row>
    <row r="2739" spans="1:4">
      <c r="A2739" s="107">
        <v>2</v>
      </c>
      <c r="B2739" s="1324"/>
      <c r="C2739" t="s">
        <v>446</v>
      </c>
      <c r="D2739" s="113">
        <v>10746.5</v>
      </c>
    </row>
    <row r="2740" spans="1:4">
      <c r="A2740" s="107">
        <v>2</v>
      </c>
      <c r="B2740" s="1324"/>
      <c r="C2740" t="s">
        <v>1253</v>
      </c>
      <c r="D2740" s="113">
        <v>0</v>
      </c>
    </row>
    <row r="2741" spans="1:4">
      <c r="A2741" s="107">
        <v>2</v>
      </c>
      <c r="B2741" s="1325"/>
      <c r="C2741" t="s">
        <v>421</v>
      </c>
      <c r="D2741" s="113">
        <v>0</v>
      </c>
    </row>
    <row r="2742" spans="1:4">
      <c r="A2742" s="107">
        <v>2</v>
      </c>
      <c r="B2742" s="1323" t="s">
        <v>1216</v>
      </c>
      <c r="C2742" t="s">
        <v>444</v>
      </c>
      <c r="D2742" s="113">
        <v>0</v>
      </c>
    </row>
    <row r="2743" spans="1:4">
      <c r="A2743" s="107">
        <v>2</v>
      </c>
      <c r="B2743" s="1324"/>
      <c r="C2743" t="s">
        <v>445</v>
      </c>
      <c r="D2743" s="113">
        <v>0</v>
      </c>
    </row>
    <row r="2744" spans="1:4">
      <c r="A2744" s="107">
        <v>2</v>
      </c>
      <c r="B2744" s="1324"/>
      <c r="C2744" t="s">
        <v>446</v>
      </c>
      <c r="D2744" s="113">
        <v>7416.4</v>
      </c>
    </row>
    <row r="2745" spans="1:4">
      <c r="A2745" s="107">
        <v>2</v>
      </c>
      <c r="B2745" s="1324"/>
      <c r="C2745" t="s">
        <v>1253</v>
      </c>
      <c r="D2745" s="113">
        <v>0</v>
      </c>
    </row>
    <row r="2746" spans="1:4">
      <c r="A2746" s="107">
        <v>2</v>
      </c>
      <c r="B2746" s="1325"/>
      <c r="C2746" t="s">
        <v>421</v>
      </c>
      <c r="D2746" s="113">
        <v>0</v>
      </c>
    </row>
    <row r="2747" spans="1:4" ht="12.75" customHeight="1">
      <c r="A2747" s="107">
        <v>2</v>
      </c>
      <c r="B2747" s="1323" t="s">
        <v>1217</v>
      </c>
      <c r="C2747" t="s">
        <v>444</v>
      </c>
      <c r="D2747" s="113">
        <v>0</v>
      </c>
    </row>
    <row r="2748" spans="1:4">
      <c r="A2748" s="107">
        <v>2</v>
      </c>
      <c r="B2748" s="1324"/>
      <c r="C2748" t="s">
        <v>445</v>
      </c>
      <c r="D2748" s="113">
        <v>0</v>
      </c>
    </row>
    <row r="2749" spans="1:4">
      <c r="A2749" s="107">
        <v>2</v>
      </c>
      <c r="B2749" s="1324"/>
      <c r="C2749" t="s">
        <v>446</v>
      </c>
      <c r="D2749" s="113">
        <v>19014.900000000001</v>
      </c>
    </row>
    <row r="2750" spans="1:4">
      <c r="A2750" s="107">
        <v>2</v>
      </c>
      <c r="B2750" s="1324"/>
      <c r="C2750" t="s">
        <v>1253</v>
      </c>
      <c r="D2750" s="113">
        <v>0</v>
      </c>
    </row>
    <row r="2751" spans="1:4">
      <c r="A2751" s="107">
        <v>2</v>
      </c>
      <c r="B2751" s="1325"/>
      <c r="C2751" t="s">
        <v>421</v>
      </c>
      <c r="D2751" s="113">
        <v>0</v>
      </c>
    </row>
    <row r="2752" spans="1:4" ht="12.75" customHeight="1">
      <c r="A2752" s="107">
        <v>2</v>
      </c>
      <c r="B2752" s="1323" t="s">
        <v>1218</v>
      </c>
      <c r="C2752" t="s">
        <v>444</v>
      </c>
      <c r="D2752" s="113">
        <v>0</v>
      </c>
    </row>
    <row r="2753" spans="1:4">
      <c r="A2753" s="107">
        <v>2</v>
      </c>
      <c r="B2753" s="1324"/>
      <c r="C2753" t="s">
        <v>445</v>
      </c>
      <c r="D2753" s="113">
        <v>0</v>
      </c>
    </row>
    <row r="2754" spans="1:4">
      <c r="A2754" s="107">
        <v>2</v>
      </c>
      <c r="B2754" s="1324"/>
      <c r="C2754" t="s">
        <v>446</v>
      </c>
      <c r="D2754" s="113">
        <v>72837.7</v>
      </c>
    </row>
    <row r="2755" spans="1:4">
      <c r="A2755" s="107">
        <v>2</v>
      </c>
      <c r="B2755" s="1324"/>
      <c r="C2755" t="s">
        <v>1253</v>
      </c>
      <c r="D2755" s="113">
        <v>0</v>
      </c>
    </row>
    <row r="2756" spans="1:4">
      <c r="A2756" s="107">
        <v>2</v>
      </c>
      <c r="B2756" s="1325"/>
      <c r="C2756" t="s">
        <v>421</v>
      </c>
      <c r="D2756" s="113">
        <v>0</v>
      </c>
    </row>
    <row r="2757" spans="1:4" ht="12.75" customHeight="1">
      <c r="A2757" s="107">
        <v>2</v>
      </c>
      <c r="B2757" s="1323" t="s">
        <v>1219</v>
      </c>
      <c r="C2757" t="s">
        <v>444</v>
      </c>
      <c r="D2757" s="113">
        <v>0</v>
      </c>
    </row>
    <row r="2758" spans="1:4">
      <c r="A2758" s="107">
        <v>2</v>
      </c>
      <c r="B2758" s="1324"/>
      <c r="C2758" t="s">
        <v>445</v>
      </c>
      <c r="D2758" s="113">
        <v>0</v>
      </c>
    </row>
    <row r="2759" spans="1:4">
      <c r="A2759" s="107">
        <v>2</v>
      </c>
      <c r="B2759" s="1324"/>
      <c r="C2759" t="s">
        <v>446</v>
      </c>
      <c r="D2759" s="113">
        <v>7610.4</v>
      </c>
    </row>
    <row r="2760" spans="1:4">
      <c r="A2760" s="107">
        <v>2</v>
      </c>
      <c r="B2760" s="1324"/>
      <c r="C2760" t="s">
        <v>1253</v>
      </c>
      <c r="D2760" s="113">
        <v>0</v>
      </c>
    </row>
    <row r="2761" spans="1:4">
      <c r="A2761" s="107">
        <v>2</v>
      </c>
      <c r="B2761" s="1325"/>
      <c r="C2761" t="s">
        <v>421</v>
      </c>
      <c r="D2761" s="113">
        <v>0</v>
      </c>
    </row>
    <row r="2762" spans="1:4" ht="12.75" customHeight="1">
      <c r="A2762" s="107">
        <v>2</v>
      </c>
      <c r="B2762" s="1323" t="s">
        <v>1220</v>
      </c>
      <c r="C2762" t="s">
        <v>444</v>
      </c>
      <c r="D2762" s="113">
        <v>0</v>
      </c>
    </row>
    <row r="2763" spans="1:4">
      <c r="A2763" s="107">
        <v>2</v>
      </c>
      <c r="B2763" s="1324"/>
      <c r="C2763" t="s">
        <v>445</v>
      </c>
      <c r="D2763" s="113">
        <v>0</v>
      </c>
    </row>
    <row r="2764" spans="1:4">
      <c r="A2764" s="107">
        <v>2</v>
      </c>
      <c r="B2764" s="1324"/>
      <c r="C2764" t="s">
        <v>446</v>
      </c>
      <c r="D2764" s="113">
        <v>28276.5</v>
      </c>
    </row>
    <row r="2765" spans="1:4">
      <c r="A2765" s="107">
        <v>2</v>
      </c>
      <c r="B2765" s="1324"/>
      <c r="C2765" t="s">
        <v>1253</v>
      </c>
      <c r="D2765" s="113">
        <v>0</v>
      </c>
    </row>
    <row r="2766" spans="1:4">
      <c r="A2766" s="107">
        <v>2</v>
      </c>
      <c r="B2766" s="1325"/>
      <c r="C2766" t="s">
        <v>421</v>
      </c>
      <c r="D2766" s="113">
        <v>0</v>
      </c>
    </row>
    <row r="2767" spans="1:4" ht="12.75" customHeight="1">
      <c r="A2767" s="107">
        <v>1</v>
      </c>
      <c r="B2767" s="1323" t="s">
        <v>1221</v>
      </c>
      <c r="C2767" t="s">
        <v>444</v>
      </c>
      <c r="D2767" s="113">
        <v>68193.5</v>
      </c>
    </row>
    <row r="2768" spans="1:4">
      <c r="A2768" s="107">
        <v>1</v>
      </c>
      <c r="B2768" s="1324"/>
      <c r="C2768" t="s">
        <v>445</v>
      </c>
      <c r="D2768" s="113">
        <v>0</v>
      </c>
    </row>
    <row r="2769" spans="1:4">
      <c r="A2769" s="107">
        <v>1</v>
      </c>
      <c r="B2769" s="1324"/>
      <c r="C2769" t="s">
        <v>446</v>
      </c>
      <c r="D2769" s="113">
        <v>19283.8</v>
      </c>
    </row>
    <row r="2770" spans="1:4">
      <c r="A2770" s="107">
        <v>1</v>
      </c>
      <c r="B2770" s="1324"/>
      <c r="C2770" t="s">
        <v>1253</v>
      </c>
      <c r="D2770" s="113">
        <v>0</v>
      </c>
    </row>
    <row r="2771" spans="1:4">
      <c r="A2771" s="107">
        <v>1</v>
      </c>
      <c r="B2771" s="1325"/>
      <c r="C2771" t="s">
        <v>421</v>
      </c>
      <c r="D2771" s="113">
        <v>0</v>
      </c>
    </row>
    <row r="2772" spans="1:4">
      <c r="A2772" s="107">
        <v>2</v>
      </c>
      <c r="B2772" s="1323" t="s">
        <v>1222</v>
      </c>
      <c r="C2772" t="s">
        <v>444</v>
      </c>
      <c r="D2772" s="113">
        <v>0</v>
      </c>
    </row>
    <row r="2773" spans="1:4">
      <c r="A2773" s="107">
        <v>2</v>
      </c>
      <c r="B2773" s="1324"/>
      <c r="C2773" t="s">
        <v>445</v>
      </c>
      <c r="D2773" s="113">
        <v>0</v>
      </c>
    </row>
    <row r="2774" spans="1:4">
      <c r="A2774" s="107">
        <v>2</v>
      </c>
      <c r="B2774" s="1324"/>
      <c r="C2774" t="s">
        <v>446</v>
      </c>
      <c r="D2774" s="113">
        <v>3700.8</v>
      </c>
    </row>
    <row r="2775" spans="1:4">
      <c r="A2775" s="107">
        <v>2</v>
      </c>
      <c r="B2775" s="1324"/>
      <c r="C2775" t="s">
        <v>1253</v>
      </c>
      <c r="D2775" s="113">
        <v>0</v>
      </c>
    </row>
    <row r="2776" spans="1:4">
      <c r="A2776" s="107">
        <v>2</v>
      </c>
      <c r="B2776" s="1325"/>
      <c r="C2776" t="s">
        <v>421</v>
      </c>
      <c r="D2776" s="113">
        <v>0</v>
      </c>
    </row>
    <row r="2777" spans="1:4">
      <c r="A2777" s="107">
        <v>1</v>
      </c>
      <c r="B2777" s="1323" t="s">
        <v>1223</v>
      </c>
      <c r="C2777" t="s">
        <v>444</v>
      </c>
      <c r="D2777" s="113">
        <v>797771.2</v>
      </c>
    </row>
    <row r="2778" spans="1:4">
      <c r="A2778" s="107">
        <v>1</v>
      </c>
      <c r="B2778" s="1324"/>
      <c r="C2778" t="s">
        <v>445</v>
      </c>
      <c r="D2778" s="113">
        <v>0</v>
      </c>
    </row>
    <row r="2779" spans="1:4">
      <c r="A2779" s="107">
        <v>1</v>
      </c>
      <c r="B2779" s="1324"/>
      <c r="C2779" t="s">
        <v>446</v>
      </c>
      <c r="D2779" s="113">
        <v>39788.300000000003</v>
      </c>
    </row>
    <row r="2780" spans="1:4">
      <c r="A2780" s="107">
        <v>1</v>
      </c>
      <c r="B2780" s="1324"/>
      <c r="C2780" t="s">
        <v>1253</v>
      </c>
      <c r="D2780" s="113">
        <v>0</v>
      </c>
    </row>
    <row r="2781" spans="1:4">
      <c r="A2781" s="107">
        <v>1</v>
      </c>
      <c r="B2781" s="1325"/>
      <c r="C2781" t="s">
        <v>421</v>
      </c>
      <c r="D2781" s="113">
        <v>0</v>
      </c>
    </row>
    <row r="2782" spans="1:4">
      <c r="A2782" s="107">
        <v>2</v>
      </c>
      <c r="B2782" s="1323" t="s">
        <v>1224</v>
      </c>
      <c r="C2782" t="s">
        <v>444</v>
      </c>
      <c r="D2782" s="113">
        <v>0</v>
      </c>
    </row>
    <row r="2783" spans="1:4">
      <c r="A2783" s="107">
        <v>2</v>
      </c>
      <c r="B2783" s="1324"/>
      <c r="C2783" t="s">
        <v>445</v>
      </c>
      <c r="D2783" s="113">
        <v>0</v>
      </c>
    </row>
    <row r="2784" spans="1:4">
      <c r="A2784" s="107">
        <v>2</v>
      </c>
      <c r="B2784" s="1324"/>
      <c r="C2784" t="s">
        <v>446</v>
      </c>
      <c r="D2784" s="113">
        <v>13592.5</v>
      </c>
    </row>
    <row r="2785" spans="1:4">
      <c r="A2785" s="107">
        <v>2</v>
      </c>
      <c r="B2785" s="1324"/>
      <c r="C2785" t="s">
        <v>1253</v>
      </c>
      <c r="D2785" s="113">
        <v>0</v>
      </c>
    </row>
    <row r="2786" spans="1:4">
      <c r="A2786" s="107">
        <v>2</v>
      </c>
      <c r="B2786" s="1325"/>
      <c r="C2786" t="s">
        <v>421</v>
      </c>
      <c r="D2786" s="113">
        <v>0</v>
      </c>
    </row>
    <row r="2787" spans="1:4" ht="12.75" customHeight="1">
      <c r="A2787" s="107">
        <v>2</v>
      </c>
      <c r="B2787" s="1323" t="s">
        <v>1225</v>
      </c>
      <c r="C2787" t="s">
        <v>444</v>
      </c>
      <c r="D2787" s="113">
        <v>0</v>
      </c>
    </row>
    <row r="2788" spans="1:4">
      <c r="A2788" s="107">
        <v>2</v>
      </c>
      <c r="B2788" s="1324"/>
      <c r="C2788" t="s">
        <v>445</v>
      </c>
      <c r="D2788" s="113">
        <v>0</v>
      </c>
    </row>
    <row r="2789" spans="1:4">
      <c r="A2789" s="107">
        <v>2</v>
      </c>
      <c r="B2789" s="1324"/>
      <c r="C2789" t="s">
        <v>446</v>
      </c>
      <c r="D2789" s="113">
        <v>39149.800000000003</v>
      </c>
    </row>
    <row r="2790" spans="1:4">
      <c r="A2790" s="107">
        <v>2</v>
      </c>
      <c r="B2790" s="1324"/>
      <c r="C2790" t="s">
        <v>1253</v>
      </c>
      <c r="D2790" s="113">
        <v>0</v>
      </c>
    </row>
    <row r="2791" spans="1:4" ht="13.5" customHeight="1">
      <c r="A2791" s="107">
        <v>2</v>
      </c>
      <c r="B2791" s="1325"/>
      <c r="C2791" t="s">
        <v>421</v>
      </c>
      <c r="D2791" s="113">
        <v>0</v>
      </c>
    </row>
    <row r="2792" spans="1:4" ht="12.75" customHeight="1">
      <c r="A2792" s="107">
        <v>3</v>
      </c>
      <c r="B2792" s="1323" t="s">
        <v>1226</v>
      </c>
      <c r="C2792" t="s">
        <v>444</v>
      </c>
      <c r="D2792" s="113">
        <v>243114.8</v>
      </c>
    </row>
    <row r="2793" spans="1:4">
      <c r="A2793" s="107">
        <v>3</v>
      </c>
      <c r="B2793" s="1324"/>
      <c r="C2793" t="s">
        <v>445</v>
      </c>
      <c r="D2793" s="113">
        <v>0</v>
      </c>
    </row>
    <row r="2794" spans="1:4">
      <c r="A2794" s="107">
        <v>3</v>
      </c>
      <c r="B2794" s="1324"/>
      <c r="C2794" t="s">
        <v>446</v>
      </c>
      <c r="D2794" s="113">
        <v>20388.3</v>
      </c>
    </row>
    <row r="2795" spans="1:4">
      <c r="A2795" s="107">
        <v>3</v>
      </c>
      <c r="B2795" s="1324"/>
      <c r="C2795" t="s">
        <v>1253</v>
      </c>
      <c r="D2795" s="113">
        <v>0</v>
      </c>
    </row>
    <row r="2796" spans="1:4">
      <c r="A2796" s="107">
        <v>3</v>
      </c>
      <c r="B2796" s="1325"/>
      <c r="C2796" t="s">
        <v>421</v>
      </c>
      <c r="D2796" s="113">
        <v>0</v>
      </c>
    </row>
    <row r="2797" spans="1:4" ht="24" customHeight="1">
      <c r="A2797" s="111">
        <v>4</v>
      </c>
      <c r="B2797" s="1323" t="s">
        <v>1227</v>
      </c>
      <c r="C2797" t="s">
        <v>444</v>
      </c>
      <c r="D2797" s="113">
        <v>745011.19999999995</v>
      </c>
    </row>
    <row r="2798" spans="1:4" ht="24" customHeight="1">
      <c r="A2798" s="111">
        <v>4</v>
      </c>
      <c r="B2798" s="1324"/>
      <c r="C2798" t="s">
        <v>445</v>
      </c>
      <c r="D2798" s="113">
        <v>0</v>
      </c>
    </row>
    <row r="2799" spans="1:4">
      <c r="A2799" s="111">
        <v>4</v>
      </c>
      <c r="B2799" s="1324"/>
      <c r="C2799" t="s">
        <v>446</v>
      </c>
      <c r="D2799" s="113">
        <v>0</v>
      </c>
    </row>
    <row r="2800" spans="1:4">
      <c r="A2800" s="111">
        <v>4</v>
      </c>
      <c r="B2800" s="1324"/>
      <c r="C2800" t="s">
        <v>1253</v>
      </c>
      <c r="D2800" s="113">
        <v>0</v>
      </c>
    </row>
    <row r="2801" spans="1:4">
      <c r="A2801" s="111">
        <v>4</v>
      </c>
      <c r="B2801" s="1324"/>
      <c r="C2801" t="s">
        <v>421</v>
      </c>
      <c r="D2801" s="113">
        <v>0</v>
      </c>
    </row>
    <row r="2802" spans="1:4">
      <c r="A2802" s="107">
        <v>1</v>
      </c>
      <c r="B2802" s="1323" t="s">
        <v>1228</v>
      </c>
      <c r="C2802" t="s">
        <v>444</v>
      </c>
      <c r="D2802" s="113">
        <v>26473.599999999999</v>
      </c>
    </row>
    <row r="2803" spans="1:4">
      <c r="A2803" s="107">
        <v>1</v>
      </c>
      <c r="B2803" s="1324"/>
      <c r="C2803" t="s">
        <v>445</v>
      </c>
      <c r="D2803" s="113">
        <v>24015.8</v>
      </c>
    </row>
    <row r="2804" spans="1:4">
      <c r="A2804" s="107">
        <v>1</v>
      </c>
      <c r="B2804" s="1324"/>
      <c r="C2804" t="s">
        <v>446</v>
      </c>
      <c r="D2804" s="113">
        <v>6043.5</v>
      </c>
    </row>
    <row r="2805" spans="1:4">
      <c r="A2805" s="107">
        <v>1</v>
      </c>
      <c r="B2805" s="1324"/>
      <c r="C2805" t="s">
        <v>1253</v>
      </c>
      <c r="D2805" s="113">
        <v>0</v>
      </c>
    </row>
    <row r="2806" spans="1:4">
      <c r="A2806" s="107">
        <v>1</v>
      </c>
      <c r="B2806" s="1324"/>
      <c r="C2806" t="s">
        <v>421</v>
      </c>
      <c r="D2806" s="113">
        <v>0</v>
      </c>
    </row>
    <row r="2807" spans="1:4" ht="12.75" customHeight="1">
      <c r="A2807" s="107">
        <v>4</v>
      </c>
      <c r="B2807" s="1323" t="s">
        <v>1229</v>
      </c>
      <c r="C2807" t="s">
        <v>444</v>
      </c>
      <c r="D2807" s="113">
        <v>774535.8</v>
      </c>
    </row>
    <row r="2808" spans="1:4">
      <c r="A2808" s="107">
        <v>4</v>
      </c>
      <c r="B2808" s="1324"/>
      <c r="C2808" t="s">
        <v>445</v>
      </c>
      <c r="D2808" s="113">
        <v>0</v>
      </c>
    </row>
    <row r="2809" spans="1:4">
      <c r="A2809" s="107">
        <v>4</v>
      </c>
      <c r="B2809" s="1324"/>
      <c r="C2809" t="s">
        <v>446</v>
      </c>
      <c r="D2809" s="113">
        <v>0</v>
      </c>
    </row>
    <row r="2810" spans="1:4">
      <c r="A2810" s="107">
        <v>4</v>
      </c>
      <c r="B2810" s="1324"/>
      <c r="C2810" t="s">
        <v>1253</v>
      </c>
      <c r="D2810" s="113">
        <v>0</v>
      </c>
    </row>
    <row r="2811" spans="1:4">
      <c r="A2811" s="107">
        <v>4</v>
      </c>
      <c r="B2811" s="1325"/>
      <c r="C2811" t="s">
        <v>421</v>
      </c>
      <c r="D2811" s="113">
        <v>0</v>
      </c>
    </row>
    <row r="2812" spans="1:4">
      <c r="A2812" s="107">
        <v>1</v>
      </c>
      <c r="B2812" s="1323" t="s">
        <v>1230</v>
      </c>
      <c r="C2812" t="s">
        <v>444</v>
      </c>
      <c r="D2812" s="113">
        <v>340124.3</v>
      </c>
    </row>
    <row r="2813" spans="1:4">
      <c r="A2813" s="107">
        <v>1</v>
      </c>
      <c r="B2813" s="1324"/>
      <c r="C2813" t="s">
        <v>445</v>
      </c>
      <c r="D2813" s="113">
        <v>0</v>
      </c>
    </row>
    <row r="2814" spans="1:4">
      <c r="A2814" s="107">
        <v>1</v>
      </c>
      <c r="B2814" s="1324"/>
      <c r="C2814" t="s">
        <v>446</v>
      </c>
      <c r="D2814" s="113">
        <v>67100</v>
      </c>
    </row>
    <row r="2815" spans="1:4">
      <c r="A2815" s="107">
        <v>1</v>
      </c>
      <c r="B2815" s="1324"/>
      <c r="C2815" t="s">
        <v>1253</v>
      </c>
      <c r="D2815" s="113">
        <v>0</v>
      </c>
    </row>
    <row r="2816" spans="1:4">
      <c r="A2816" s="107">
        <v>1</v>
      </c>
      <c r="B2816" s="1325"/>
      <c r="C2816" t="s">
        <v>421</v>
      </c>
      <c r="D2816" s="113">
        <v>0</v>
      </c>
    </row>
    <row r="2817" spans="1:4">
      <c r="A2817" s="107">
        <v>2</v>
      </c>
      <c r="B2817" s="1323" t="s">
        <v>1231</v>
      </c>
      <c r="C2817" t="s">
        <v>444</v>
      </c>
      <c r="D2817" s="113">
        <v>0</v>
      </c>
    </row>
    <row r="2818" spans="1:4">
      <c r="A2818" s="107">
        <v>2</v>
      </c>
      <c r="B2818" s="1324"/>
      <c r="C2818" t="s">
        <v>445</v>
      </c>
      <c r="D2818" s="113">
        <v>0</v>
      </c>
    </row>
    <row r="2819" spans="1:4">
      <c r="A2819" s="107">
        <v>2</v>
      </c>
      <c r="B2819" s="1324"/>
      <c r="C2819" t="s">
        <v>446</v>
      </c>
      <c r="D2819" s="113">
        <v>38301.9</v>
      </c>
    </row>
    <row r="2820" spans="1:4">
      <c r="A2820" s="107">
        <v>2</v>
      </c>
      <c r="B2820" s="1324"/>
      <c r="C2820" t="s">
        <v>1253</v>
      </c>
      <c r="D2820" s="113">
        <v>0</v>
      </c>
    </row>
    <row r="2821" spans="1:4">
      <c r="A2821" s="107">
        <v>2</v>
      </c>
      <c r="B2821" s="1325"/>
      <c r="C2821" t="s">
        <v>421</v>
      </c>
      <c r="D2821" s="113">
        <v>0</v>
      </c>
    </row>
    <row r="2822" spans="1:4">
      <c r="A2822" s="107">
        <v>4</v>
      </c>
      <c r="B2822" s="1323" t="s">
        <v>1232</v>
      </c>
      <c r="C2822" t="s">
        <v>444</v>
      </c>
      <c r="D2822" s="113">
        <v>507123.1</v>
      </c>
    </row>
    <row r="2823" spans="1:4">
      <c r="A2823" s="107">
        <v>4</v>
      </c>
      <c r="B2823" s="1324"/>
      <c r="C2823" t="s">
        <v>445</v>
      </c>
      <c r="D2823" s="113">
        <v>0</v>
      </c>
    </row>
    <row r="2824" spans="1:4">
      <c r="A2824" s="107">
        <v>4</v>
      </c>
      <c r="B2824" s="1324"/>
      <c r="C2824" t="s">
        <v>446</v>
      </c>
      <c r="D2824" s="113">
        <v>0</v>
      </c>
    </row>
    <row r="2825" spans="1:4">
      <c r="A2825" s="107">
        <v>4</v>
      </c>
      <c r="B2825" s="1324"/>
      <c r="C2825" t="s">
        <v>1253</v>
      </c>
      <c r="D2825" s="113">
        <v>0</v>
      </c>
    </row>
    <row r="2826" spans="1:4">
      <c r="A2826" s="107">
        <v>4</v>
      </c>
      <c r="B2826" s="1325"/>
      <c r="C2826" t="s">
        <v>421</v>
      </c>
      <c r="D2826" s="113">
        <v>0</v>
      </c>
    </row>
    <row r="2827" spans="1:4">
      <c r="A2827" s="107">
        <v>2</v>
      </c>
      <c r="B2827" s="1323" t="s">
        <v>1233</v>
      </c>
      <c r="C2827" t="s">
        <v>444</v>
      </c>
      <c r="D2827" s="113">
        <v>0</v>
      </c>
    </row>
    <row r="2828" spans="1:4">
      <c r="A2828" s="107">
        <v>2</v>
      </c>
      <c r="B2828" s="1324"/>
      <c r="C2828" t="s">
        <v>445</v>
      </c>
      <c r="D2828" s="113">
        <v>0</v>
      </c>
    </row>
    <row r="2829" spans="1:4">
      <c r="A2829" s="107">
        <v>2</v>
      </c>
      <c r="B2829" s="1324"/>
      <c r="C2829" t="s">
        <v>446</v>
      </c>
      <c r="D2829" s="113">
        <v>15762.5</v>
      </c>
    </row>
    <row r="2830" spans="1:4">
      <c r="A2830" s="107">
        <v>2</v>
      </c>
      <c r="B2830" s="1324"/>
      <c r="C2830" t="s">
        <v>1253</v>
      </c>
      <c r="D2830" s="113">
        <v>0</v>
      </c>
    </row>
    <row r="2831" spans="1:4">
      <c r="A2831" s="107">
        <v>2</v>
      </c>
      <c r="B2831" s="1325"/>
      <c r="C2831" t="s">
        <v>421</v>
      </c>
      <c r="D2831" s="113">
        <v>0</v>
      </c>
    </row>
    <row r="2832" spans="1:4" ht="12.75" customHeight="1">
      <c r="A2832" s="107">
        <v>18</v>
      </c>
      <c r="B2832" s="1323" t="s">
        <v>1234</v>
      </c>
      <c r="C2832" t="s">
        <v>444</v>
      </c>
      <c r="D2832" s="113">
        <v>210402.3</v>
      </c>
    </row>
    <row r="2833" spans="1:4">
      <c r="A2833" s="107">
        <v>18</v>
      </c>
      <c r="B2833" s="1324"/>
      <c r="C2833" t="s">
        <v>445</v>
      </c>
      <c r="D2833" s="113">
        <v>0</v>
      </c>
    </row>
    <row r="2834" spans="1:4">
      <c r="A2834" s="107">
        <v>18</v>
      </c>
      <c r="B2834" s="1324"/>
      <c r="C2834" t="s">
        <v>446</v>
      </c>
      <c r="D2834" s="113">
        <v>42658.400000000001</v>
      </c>
    </row>
    <row r="2835" spans="1:4">
      <c r="A2835" s="107">
        <v>18</v>
      </c>
      <c r="B2835" s="1324"/>
      <c r="C2835" t="s">
        <v>1253</v>
      </c>
      <c r="D2835" s="113">
        <v>0</v>
      </c>
    </row>
    <row r="2836" spans="1:4">
      <c r="A2836" s="107">
        <v>18</v>
      </c>
      <c r="B2836" s="1325"/>
      <c r="C2836" t="s">
        <v>421</v>
      </c>
      <c r="D2836" s="113">
        <v>0</v>
      </c>
    </row>
    <row r="2837" spans="1:4">
      <c r="A2837" s="107">
        <v>1</v>
      </c>
      <c r="B2837" s="1323" t="s">
        <v>1235</v>
      </c>
      <c r="C2837" t="s">
        <v>444</v>
      </c>
      <c r="D2837" s="113">
        <v>25179</v>
      </c>
    </row>
    <row r="2838" spans="1:4">
      <c r="A2838" s="107">
        <v>1</v>
      </c>
      <c r="B2838" s="1324"/>
      <c r="C2838" t="s">
        <v>445</v>
      </c>
      <c r="D2838" s="113">
        <v>130233.60000000001</v>
      </c>
    </row>
    <row r="2839" spans="1:4">
      <c r="A2839" s="107">
        <v>1</v>
      </c>
      <c r="B2839" s="1324"/>
      <c r="C2839" t="s">
        <v>446</v>
      </c>
      <c r="D2839" s="113">
        <v>6769.3</v>
      </c>
    </row>
    <row r="2840" spans="1:4">
      <c r="A2840" s="107">
        <v>1</v>
      </c>
      <c r="B2840" s="1324"/>
      <c r="C2840" t="s">
        <v>1253</v>
      </c>
      <c r="D2840" s="113">
        <v>0</v>
      </c>
    </row>
    <row r="2841" spans="1:4">
      <c r="A2841" s="107">
        <v>1</v>
      </c>
      <c r="B2841" s="1324"/>
      <c r="C2841" t="s">
        <v>421</v>
      </c>
      <c r="D2841" s="113">
        <v>0</v>
      </c>
    </row>
    <row r="2842" spans="1:4">
      <c r="A2842" s="107">
        <v>2</v>
      </c>
      <c r="B2842" s="1323" t="s">
        <v>1236</v>
      </c>
      <c r="C2842" t="s">
        <v>444</v>
      </c>
      <c r="D2842" s="113">
        <v>0</v>
      </c>
    </row>
    <row r="2843" spans="1:4">
      <c r="A2843" s="107">
        <v>2</v>
      </c>
      <c r="B2843" s="1324"/>
      <c r="C2843" t="s">
        <v>445</v>
      </c>
      <c r="D2843" s="113">
        <v>0</v>
      </c>
    </row>
    <row r="2844" spans="1:4">
      <c r="A2844" s="107">
        <v>2</v>
      </c>
      <c r="B2844" s="1324"/>
      <c r="C2844" t="s">
        <v>446</v>
      </c>
      <c r="D2844" s="113">
        <v>9569</v>
      </c>
    </row>
    <row r="2845" spans="1:4">
      <c r="A2845" s="107">
        <v>2</v>
      </c>
      <c r="B2845" s="1324"/>
      <c r="C2845" t="s">
        <v>1253</v>
      </c>
      <c r="D2845" s="113">
        <v>0</v>
      </c>
    </row>
    <row r="2846" spans="1:4">
      <c r="A2846" s="107">
        <v>2</v>
      </c>
      <c r="B2846" s="1325"/>
      <c r="C2846" t="s">
        <v>421</v>
      </c>
      <c r="D2846" s="113">
        <v>0</v>
      </c>
    </row>
    <row r="2847" spans="1:4" ht="12.75" customHeight="1">
      <c r="A2847" s="107">
        <v>1</v>
      </c>
      <c r="B2847" s="1323" t="s">
        <v>1237</v>
      </c>
      <c r="C2847" t="s">
        <v>444</v>
      </c>
      <c r="D2847" s="113">
        <v>453505.2</v>
      </c>
    </row>
    <row r="2848" spans="1:4">
      <c r="A2848" s="107">
        <v>1</v>
      </c>
      <c r="B2848" s="1324"/>
      <c r="C2848" t="s">
        <v>445</v>
      </c>
      <c r="D2848" s="113">
        <v>0</v>
      </c>
    </row>
    <row r="2849" spans="1:4">
      <c r="A2849" s="107">
        <v>1</v>
      </c>
      <c r="B2849" s="1324"/>
      <c r="C2849" t="s">
        <v>446</v>
      </c>
      <c r="D2849" s="113">
        <v>20766.5</v>
      </c>
    </row>
    <row r="2850" spans="1:4">
      <c r="A2850" s="107">
        <v>1</v>
      </c>
      <c r="B2850" s="1324"/>
      <c r="C2850" t="s">
        <v>1253</v>
      </c>
      <c r="D2850" s="113">
        <v>0</v>
      </c>
    </row>
    <row r="2851" spans="1:4">
      <c r="A2851" s="107">
        <v>1</v>
      </c>
      <c r="B2851" s="1325"/>
      <c r="C2851" t="s">
        <v>421</v>
      </c>
      <c r="D2851" s="113">
        <v>0</v>
      </c>
    </row>
    <row r="2852" spans="1:4">
      <c r="A2852" s="107">
        <v>2</v>
      </c>
      <c r="B2852" s="1323" t="s">
        <v>1238</v>
      </c>
      <c r="C2852" t="s">
        <v>444</v>
      </c>
      <c r="D2852" s="113">
        <v>0</v>
      </c>
    </row>
    <row r="2853" spans="1:4">
      <c r="A2853" s="107">
        <v>2</v>
      </c>
      <c r="B2853" s="1324"/>
      <c r="C2853" t="s">
        <v>445</v>
      </c>
      <c r="D2853" s="113">
        <v>0</v>
      </c>
    </row>
    <row r="2854" spans="1:4">
      <c r="A2854" s="107">
        <v>2</v>
      </c>
      <c r="B2854" s="1324"/>
      <c r="C2854" t="s">
        <v>446</v>
      </c>
      <c r="D2854" s="113">
        <v>17889.900000000001</v>
      </c>
    </row>
    <row r="2855" spans="1:4">
      <c r="A2855" s="107">
        <v>2</v>
      </c>
      <c r="B2855" s="1324"/>
      <c r="C2855" t="s">
        <v>1253</v>
      </c>
      <c r="D2855" s="113">
        <v>0</v>
      </c>
    </row>
    <row r="2856" spans="1:4">
      <c r="A2856" s="107">
        <v>2</v>
      </c>
      <c r="B2856" s="1325"/>
      <c r="C2856" t="s">
        <v>421</v>
      </c>
      <c r="D2856" s="113">
        <v>0</v>
      </c>
    </row>
    <row r="2857" spans="1:4">
      <c r="A2857" s="107">
        <v>10</v>
      </c>
      <c r="B2857" s="1323" t="s">
        <v>1239</v>
      </c>
      <c r="C2857" t="s">
        <v>444</v>
      </c>
      <c r="D2857" s="113">
        <v>0</v>
      </c>
    </row>
    <row r="2858" spans="1:4">
      <c r="A2858" s="107">
        <v>10</v>
      </c>
      <c r="B2858" s="1324"/>
      <c r="C2858" t="s">
        <v>445</v>
      </c>
      <c r="D2858" s="113">
        <v>0</v>
      </c>
    </row>
    <row r="2859" spans="1:4">
      <c r="A2859" s="107">
        <v>10</v>
      </c>
      <c r="B2859" s="1324"/>
      <c r="C2859" t="s">
        <v>446</v>
      </c>
      <c r="D2859" s="113">
        <v>146632.70000000001</v>
      </c>
    </row>
    <row r="2860" spans="1:4">
      <c r="A2860" s="107">
        <v>10</v>
      </c>
      <c r="B2860" s="1324"/>
      <c r="C2860" t="s">
        <v>1253</v>
      </c>
      <c r="D2860" s="113">
        <v>0</v>
      </c>
    </row>
    <row r="2861" spans="1:4">
      <c r="A2861" s="107">
        <v>10</v>
      </c>
      <c r="B2861" s="1325"/>
      <c r="C2861" t="s">
        <v>421</v>
      </c>
      <c r="D2861" s="113">
        <v>0</v>
      </c>
    </row>
    <row r="2862" spans="1:4">
      <c r="A2862" s="107">
        <v>2</v>
      </c>
      <c r="B2862" s="1323" t="s">
        <v>1240</v>
      </c>
      <c r="C2862" t="s">
        <v>444</v>
      </c>
      <c r="D2862" s="113">
        <v>0</v>
      </c>
    </row>
    <row r="2863" spans="1:4">
      <c r="A2863" s="107">
        <v>2</v>
      </c>
      <c r="B2863" s="1324"/>
      <c r="C2863" t="s">
        <v>445</v>
      </c>
      <c r="D2863" s="113">
        <v>0</v>
      </c>
    </row>
    <row r="2864" spans="1:4">
      <c r="A2864" s="107">
        <v>2</v>
      </c>
      <c r="B2864" s="1324"/>
      <c r="C2864" t="s">
        <v>446</v>
      </c>
      <c r="D2864" s="113">
        <v>67329.2</v>
      </c>
    </row>
    <row r="2865" spans="1:4">
      <c r="A2865" s="107">
        <v>2</v>
      </c>
      <c r="B2865" s="1324"/>
      <c r="C2865" t="s">
        <v>1253</v>
      </c>
      <c r="D2865" s="113">
        <v>0</v>
      </c>
    </row>
    <row r="2866" spans="1:4">
      <c r="A2866" s="107">
        <v>2</v>
      </c>
      <c r="B2866" s="1325"/>
      <c r="C2866" t="s">
        <v>421</v>
      </c>
      <c r="D2866" s="113">
        <v>0</v>
      </c>
    </row>
    <row r="2867" spans="1:4">
      <c r="A2867" s="107">
        <v>1</v>
      </c>
      <c r="B2867" s="1323" t="s">
        <v>1241</v>
      </c>
      <c r="C2867" t="s">
        <v>444</v>
      </c>
      <c r="D2867" s="113">
        <v>17744.2</v>
      </c>
    </row>
    <row r="2868" spans="1:4">
      <c r="A2868" s="107">
        <v>1</v>
      </c>
      <c r="B2868" s="1324"/>
      <c r="C2868" t="s">
        <v>445</v>
      </c>
      <c r="D2868" s="113">
        <v>0</v>
      </c>
    </row>
    <row r="2869" spans="1:4">
      <c r="A2869" s="107">
        <v>1</v>
      </c>
      <c r="B2869" s="1324"/>
      <c r="C2869" t="s">
        <v>446</v>
      </c>
      <c r="D2869" s="113">
        <v>27629.8</v>
      </c>
    </row>
    <row r="2870" spans="1:4">
      <c r="A2870" s="107">
        <v>1</v>
      </c>
      <c r="B2870" s="1324"/>
      <c r="C2870" t="s">
        <v>1253</v>
      </c>
      <c r="D2870" s="113">
        <v>0</v>
      </c>
    </row>
    <row r="2871" spans="1:4">
      <c r="A2871" s="107">
        <v>1</v>
      </c>
      <c r="B2871" s="1325"/>
      <c r="C2871" t="s">
        <v>421</v>
      </c>
      <c r="D2871" s="113">
        <v>0</v>
      </c>
    </row>
    <row r="2872" spans="1:4">
      <c r="A2872" s="107">
        <v>9</v>
      </c>
      <c r="B2872" s="1323" t="s">
        <v>1242</v>
      </c>
      <c r="C2872" t="s">
        <v>444</v>
      </c>
      <c r="D2872" s="113">
        <v>0</v>
      </c>
    </row>
    <row r="2873" spans="1:4">
      <c r="A2873" s="107">
        <v>9</v>
      </c>
      <c r="B2873" s="1324"/>
      <c r="C2873" t="s">
        <v>445</v>
      </c>
      <c r="D2873" s="113">
        <v>0</v>
      </c>
    </row>
    <row r="2874" spans="1:4">
      <c r="A2874" s="107">
        <v>9</v>
      </c>
      <c r="B2874" s="1324"/>
      <c r="C2874" t="s">
        <v>446</v>
      </c>
      <c r="D2874" s="113">
        <v>32339.3</v>
      </c>
    </row>
    <row r="2875" spans="1:4">
      <c r="A2875" s="107">
        <v>9</v>
      </c>
      <c r="B2875" s="1324"/>
      <c r="C2875" t="s">
        <v>1253</v>
      </c>
      <c r="D2875" s="113">
        <v>0</v>
      </c>
    </row>
    <row r="2876" spans="1:4">
      <c r="A2876" s="107">
        <v>9</v>
      </c>
      <c r="B2876" s="1325"/>
      <c r="C2876" t="s">
        <v>421</v>
      </c>
      <c r="D2876" s="113">
        <v>0</v>
      </c>
    </row>
    <row r="2877" spans="1:4">
      <c r="A2877" s="107">
        <v>2</v>
      </c>
      <c r="B2877" s="1323" t="s">
        <v>1243</v>
      </c>
      <c r="C2877" t="s">
        <v>444</v>
      </c>
      <c r="D2877" s="113">
        <v>0</v>
      </c>
    </row>
    <row r="2878" spans="1:4">
      <c r="A2878" s="107">
        <v>2</v>
      </c>
      <c r="B2878" s="1324"/>
      <c r="C2878" t="s">
        <v>445</v>
      </c>
      <c r="D2878" s="113">
        <v>0</v>
      </c>
    </row>
    <row r="2879" spans="1:4">
      <c r="A2879" s="107">
        <v>2</v>
      </c>
      <c r="B2879" s="1324"/>
      <c r="C2879" t="s">
        <v>446</v>
      </c>
      <c r="D2879" s="113">
        <v>15035.3</v>
      </c>
    </row>
    <row r="2880" spans="1:4">
      <c r="A2880" s="107">
        <v>2</v>
      </c>
      <c r="B2880" s="1324"/>
      <c r="C2880" t="s">
        <v>1253</v>
      </c>
      <c r="D2880" s="113">
        <v>0</v>
      </c>
    </row>
    <row r="2881" spans="1:4">
      <c r="A2881" s="107">
        <v>2</v>
      </c>
      <c r="B2881" s="1325"/>
      <c r="C2881" t="s">
        <v>421</v>
      </c>
      <c r="D2881" s="113">
        <v>0</v>
      </c>
    </row>
    <row r="2882" spans="1:4">
      <c r="A2882" s="107">
        <v>10</v>
      </c>
      <c r="B2882" s="1323" t="s">
        <v>1244</v>
      </c>
      <c r="C2882" t="s">
        <v>444</v>
      </c>
      <c r="D2882" s="113">
        <v>0</v>
      </c>
    </row>
    <row r="2883" spans="1:4">
      <c r="A2883" s="107">
        <v>10</v>
      </c>
      <c r="B2883" s="1324"/>
      <c r="C2883" t="s">
        <v>445</v>
      </c>
      <c r="D2883" s="113">
        <v>0</v>
      </c>
    </row>
    <row r="2884" spans="1:4">
      <c r="A2884" s="107">
        <v>10</v>
      </c>
      <c r="B2884" s="1324"/>
      <c r="C2884" t="s">
        <v>446</v>
      </c>
      <c r="D2884" s="113">
        <v>192853.7</v>
      </c>
    </row>
    <row r="2885" spans="1:4">
      <c r="A2885" s="107">
        <v>10</v>
      </c>
      <c r="B2885" s="1324"/>
      <c r="C2885" t="s">
        <v>1253</v>
      </c>
      <c r="D2885" s="113">
        <v>0</v>
      </c>
    </row>
    <row r="2886" spans="1:4">
      <c r="A2886" s="107">
        <v>10</v>
      </c>
      <c r="B2886" s="1325"/>
      <c r="C2886" t="s">
        <v>421</v>
      </c>
      <c r="D2886" s="113">
        <v>0</v>
      </c>
    </row>
    <row r="2887" spans="1:4">
      <c r="A2887" s="107">
        <v>2</v>
      </c>
      <c r="B2887" s="1323" t="s">
        <v>1245</v>
      </c>
      <c r="C2887" t="s">
        <v>444</v>
      </c>
      <c r="D2887" s="113">
        <v>44671.199999999997</v>
      </c>
    </row>
    <row r="2888" spans="1:4">
      <c r="A2888" s="107">
        <v>2</v>
      </c>
      <c r="B2888" s="1324"/>
      <c r="C2888" t="s">
        <v>445</v>
      </c>
      <c r="D2888" s="113">
        <v>0</v>
      </c>
    </row>
    <row r="2889" spans="1:4">
      <c r="A2889" s="107">
        <v>2</v>
      </c>
      <c r="B2889" s="1324"/>
      <c r="C2889" t="s">
        <v>446</v>
      </c>
      <c r="D2889" s="113">
        <v>13638.9</v>
      </c>
    </row>
    <row r="2890" spans="1:4">
      <c r="A2890" s="107">
        <v>2</v>
      </c>
      <c r="B2890" s="1324"/>
      <c r="C2890" t="s">
        <v>1253</v>
      </c>
      <c r="D2890" s="113">
        <v>0</v>
      </c>
    </row>
    <row r="2891" spans="1:4">
      <c r="A2891" s="107">
        <v>2</v>
      </c>
      <c r="B2891" s="1325"/>
      <c r="C2891" t="s">
        <v>421</v>
      </c>
      <c r="D2891" s="113">
        <v>0</v>
      </c>
    </row>
    <row r="2892" spans="1:4">
      <c r="A2892" s="107">
        <v>2</v>
      </c>
      <c r="B2892" s="1323" t="s">
        <v>1246</v>
      </c>
      <c r="C2892" t="s">
        <v>444</v>
      </c>
      <c r="D2892" s="113">
        <v>0</v>
      </c>
    </row>
    <row r="2893" spans="1:4">
      <c r="A2893" s="107">
        <v>2</v>
      </c>
      <c r="B2893" s="1324"/>
      <c r="C2893" t="s">
        <v>445</v>
      </c>
      <c r="D2893" s="113">
        <v>0</v>
      </c>
    </row>
    <row r="2894" spans="1:4">
      <c r="A2894" s="107">
        <v>2</v>
      </c>
      <c r="B2894" s="1324"/>
      <c r="C2894" t="s">
        <v>446</v>
      </c>
      <c r="D2894" s="113">
        <v>9858.5</v>
      </c>
    </row>
    <row r="2895" spans="1:4">
      <c r="A2895" s="107">
        <v>2</v>
      </c>
      <c r="B2895" s="1324"/>
      <c r="C2895" t="s">
        <v>1253</v>
      </c>
      <c r="D2895" s="113">
        <v>1589</v>
      </c>
    </row>
    <row r="2896" spans="1:4">
      <c r="A2896" s="107">
        <v>2</v>
      </c>
      <c r="B2896" s="1324"/>
      <c r="C2896" t="s">
        <v>421</v>
      </c>
      <c r="D2896" s="113">
        <v>0</v>
      </c>
    </row>
    <row r="2897" spans="1:4">
      <c r="A2897" s="107">
        <v>2</v>
      </c>
      <c r="B2897" s="1324" t="s">
        <v>1561</v>
      </c>
      <c r="C2897" t="s">
        <v>444</v>
      </c>
      <c r="D2897" s="113">
        <v>0</v>
      </c>
    </row>
    <row r="2898" spans="1:4">
      <c r="A2898" s="107">
        <v>2</v>
      </c>
      <c r="B2898" s="1324"/>
      <c r="C2898" t="s">
        <v>445</v>
      </c>
      <c r="D2898" s="113">
        <v>0</v>
      </c>
    </row>
    <row r="2899" spans="1:4">
      <c r="A2899" s="107">
        <v>2</v>
      </c>
      <c r="B2899" s="1324"/>
      <c r="C2899" t="s">
        <v>446</v>
      </c>
      <c r="D2899" s="113">
        <v>290284.09999999998</v>
      </c>
    </row>
    <row r="2900" spans="1:4">
      <c r="A2900" s="107">
        <v>2</v>
      </c>
      <c r="B2900" s="1324"/>
      <c r="C2900" t="s">
        <v>1253</v>
      </c>
      <c r="D2900" s="113">
        <v>0</v>
      </c>
    </row>
    <row r="2901" spans="1:4">
      <c r="A2901" s="107">
        <v>2</v>
      </c>
      <c r="B2901" s="1324"/>
      <c r="C2901" t="s">
        <v>421</v>
      </c>
      <c r="D2901" s="113">
        <v>0</v>
      </c>
    </row>
    <row r="2902" spans="1:4">
      <c r="A2902" s="107">
        <v>2</v>
      </c>
      <c r="B2902" s="1324" t="s">
        <v>1562</v>
      </c>
      <c r="C2902" t="s">
        <v>444</v>
      </c>
      <c r="D2902" s="113">
        <v>0</v>
      </c>
    </row>
    <row r="2903" spans="1:4">
      <c r="A2903" s="107">
        <v>2</v>
      </c>
      <c r="B2903" s="1324"/>
      <c r="C2903" t="s">
        <v>445</v>
      </c>
      <c r="D2903" s="113">
        <v>0</v>
      </c>
    </row>
    <row r="2904" spans="1:4">
      <c r="A2904" s="107">
        <v>2</v>
      </c>
      <c r="B2904" s="1324"/>
      <c r="C2904" t="s">
        <v>446</v>
      </c>
      <c r="D2904" s="113">
        <v>26727</v>
      </c>
    </row>
    <row r="2905" spans="1:4">
      <c r="A2905" s="107">
        <v>2</v>
      </c>
      <c r="B2905" s="1324"/>
      <c r="C2905" t="s">
        <v>1253</v>
      </c>
      <c r="D2905" s="113">
        <v>0</v>
      </c>
    </row>
    <row r="2906" spans="1:4">
      <c r="A2906" s="107">
        <v>2</v>
      </c>
      <c r="B2906" s="1324"/>
      <c r="C2906" t="s">
        <v>421</v>
      </c>
      <c r="D2906" s="113">
        <v>0</v>
      </c>
    </row>
    <row r="2907" spans="1:4">
      <c r="A2907" s="107">
        <v>10</v>
      </c>
      <c r="B2907" s="1324" t="s">
        <v>1563</v>
      </c>
      <c r="C2907" t="s">
        <v>444</v>
      </c>
      <c r="D2907" s="113">
        <v>0</v>
      </c>
    </row>
    <row r="2908" spans="1:4">
      <c r="A2908" s="107">
        <v>10</v>
      </c>
      <c r="B2908" s="1324"/>
      <c r="C2908" t="s">
        <v>445</v>
      </c>
      <c r="D2908" s="113">
        <v>0</v>
      </c>
    </row>
    <row r="2909" spans="1:4">
      <c r="A2909" s="107">
        <v>10</v>
      </c>
      <c r="B2909" s="1324"/>
      <c r="C2909" t="s">
        <v>446</v>
      </c>
      <c r="D2909" s="113">
        <v>107156</v>
      </c>
    </row>
    <row r="2910" spans="1:4">
      <c r="A2910" s="107">
        <v>10</v>
      </c>
      <c r="B2910" s="1324"/>
      <c r="C2910" t="s">
        <v>1253</v>
      </c>
      <c r="D2910" s="113">
        <v>0</v>
      </c>
    </row>
    <row r="2911" spans="1:4">
      <c r="A2911" s="107">
        <v>10</v>
      </c>
      <c r="B2911" s="1324"/>
      <c r="C2911" t="s">
        <v>421</v>
      </c>
      <c r="D2911" s="113">
        <v>0</v>
      </c>
    </row>
    <row r="2912" spans="1:4">
      <c r="A2912" s="107">
        <v>2</v>
      </c>
      <c r="B2912" s="1324" t="s">
        <v>1564</v>
      </c>
      <c r="C2912" t="s">
        <v>444</v>
      </c>
      <c r="D2912" s="113">
        <v>0</v>
      </c>
    </row>
    <row r="2913" spans="1:4">
      <c r="A2913" s="107">
        <v>2</v>
      </c>
      <c r="B2913" s="1324"/>
      <c r="C2913" t="s">
        <v>445</v>
      </c>
      <c r="D2913" s="113">
        <v>0</v>
      </c>
    </row>
    <row r="2914" spans="1:4">
      <c r="A2914" s="107">
        <v>2</v>
      </c>
      <c r="B2914" s="1324"/>
      <c r="C2914" t="s">
        <v>446</v>
      </c>
      <c r="D2914" s="113">
        <v>143603.6</v>
      </c>
    </row>
    <row r="2915" spans="1:4">
      <c r="A2915" s="107">
        <v>2</v>
      </c>
      <c r="B2915" s="1324"/>
      <c r="C2915" t="s">
        <v>1253</v>
      </c>
      <c r="D2915" s="113">
        <v>0</v>
      </c>
    </row>
    <row r="2916" spans="1:4">
      <c r="A2916" s="107">
        <v>2</v>
      </c>
      <c r="B2916" s="1324"/>
      <c r="C2916" t="s">
        <v>421</v>
      </c>
      <c r="D2916" s="113">
        <v>0</v>
      </c>
    </row>
    <row r="2917" spans="1:4">
      <c r="A2917" s="107">
        <v>2</v>
      </c>
      <c r="B2917" s="1324" t="s">
        <v>1565</v>
      </c>
      <c r="C2917" t="s">
        <v>444</v>
      </c>
      <c r="D2917" s="113">
        <v>0</v>
      </c>
    </row>
    <row r="2918" spans="1:4">
      <c r="A2918" s="107">
        <v>2</v>
      </c>
      <c r="B2918" s="1324"/>
      <c r="C2918" t="s">
        <v>445</v>
      </c>
      <c r="D2918" s="113">
        <v>0</v>
      </c>
    </row>
    <row r="2919" spans="1:4">
      <c r="A2919" s="107">
        <v>2</v>
      </c>
      <c r="B2919" s="1324"/>
      <c r="C2919" t="s">
        <v>446</v>
      </c>
      <c r="D2919" s="113">
        <v>64130.2</v>
      </c>
    </row>
    <row r="2920" spans="1:4">
      <c r="A2920" s="107">
        <v>2</v>
      </c>
      <c r="B2920" s="1324"/>
      <c r="C2920" t="s">
        <v>1253</v>
      </c>
      <c r="D2920" s="113">
        <v>0</v>
      </c>
    </row>
    <row r="2921" spans="1:4">
      <c r="A2921" s="107">
        <v>2</v>
      </c>
      <c r="B2921" s="1324"/>
      <c r="C2921" t="s">
        <v>421</v>
      </c>
      <c r="D2921" s="113">
        <v>0</v>
      </c>
    </row>
    <row r="2922" spans="1:4">
      <c r="A2922" s="107">
        <v>10</v>
      </c>
      <c r="B2922" s="1324" t="s">
        <v>1566</v>
      </c>
      <c r="C2922" t="s">
        <v>444</v>
      </c>
      <c r="D2922" s="113">
        <v>0</v>
      </c>
    </row>
    <row r="2923" spans="1:4">
      <c r="A2923" s="107">
        <v>10</v>
      </c>
      <c r="B2923" s="1324"/>
      <c r="C2923" t="s">
        <v>445</v>
      </c>
      <c r="D2923" s="113">
        <v>0</v>
      </c>
    </row>
    <row r="2924" spans="1:4">
      <c r="A2924" s="107">
        <v>10</v>
      </c>
      <c r="B2924" s="1324"/>
      <c r="C2924" t="s">
        <v>446</v>
      </c>
      <c r="D2924" s="113">
        <v>17415.5</v>
      </c>
    </row>
    <row r="2925" spans="1:4">
      <c r="A2925" s="107">
        <v>10</v>
      </c>
      <c r="B2925" s="1324"/>
      <c r="C2925" t="s">
        <v>1253</v>
      </c>
      <c r="D2925" s="113">
        <v>0</v>
      </c>
    </row>
    <row r="2926" spans="1:4">
      <c r="A2926" s="107">
        <v>10</v>
      </c>
      <c r="B2926" s="1324"/>
      <c r="C2926" t="s">
        <v>421</v>
      </c>
      <c r="D2926" s="113">
        <v>0</v>
      </c>
    </row>
    <row r="2927" spans="1:4">
      <c r="A2927" s="107">
        <v>2</v>
      </c>
      <c r="B2927" s="1323" t="s">
        <v>1567</v>
      </c>
      <c r="C2927" t="s">
        <v>444</v>
      </c>
      <c r="D2927" s="113">
        <v>9688.7000000000007</v>
      </c>
    </row>
    <row r="2928" spans="1:4">
      <c r="A2928" s="107">
        <v>2</v>
      </c>
      <c r="B2928" s="1324"/>
      <c r="C2928" t="s">
        <v>445</v>
      </c>
      <c r="D2928" s="113">
        <v>0</v>
      </c>
    </row>
    <row r="2929" spans="1:4">
      <c r="A2929" s="107">
        <v>2</v>
      </c>
      <c r="B2929" s="1324"/>
      <c r="C2929" t="s">
        <v>446</v>
      </c>
      <c r="D2929" s="113">
        <v>1723.7</v>
      </c>
    </row>
    <row r="2930" spans="1:4">
      <c r="A2930" s="107">
        <v>2</v>
      </c>
      <c r="B2930" s="1324"/>
      <c r="C2930" t="s">
        <v>1253</v>
      </c>
      <c r="D2930" s="113">
        <v>0</v>
      </c>
    </row>
    <row r="2931" spans="1:4">
      <c r="A2931" s="107">
        <v>2</v>
      </c>
      <c r="B2931" s="1324"/>
      <c r="C2931" t="s">
        <v>421</v>
      </c>
      <c r="D2931" s="113">
        <v>0</v>
      </c>
    </row>
    <row r="2932" spans="1:4">
      <c r="A2932" s="107">
        <v>10</v>
      </c>
      <c r="B2932" s="1331" t="s">
        <v>1568</v>
      </c>
      <c r="C2932" t="s">
        <v>444</v>
      </c>
      <c r="D2932" s="113">
        <v>0</v>
      </c>
    </row>
    <row r="2933" spans="1:4">
      <c r="A2933" s="107">
        <v>10</v>
      </c>
      <c r="B2933" s="1331"/>
      <c r="C2933" t="s">
        <v>445</v>
      </c>
      <c r="D2933" s="113">
        <v>0</v>
      </c>
    </row>
    <row r="2934" spans="1:4">
      <c r="A2934" s="107">
        <v>10</v>
      </c>
      <c r="B2934" s="1331"/>
      <c r="C2934" t="s">
        <v>446</v>
      </c>
      <c r="D2934" s="113">
        <v>23000</v>
      </c>
    </row>
    <row r="2935" spans="1:4">
      <c r="A2935" s="107">
        <v>10</v>
      </c>
      <c r="B2935" s="1331"/>
      <c r="C2935" t="s">
        <v>1253</v>
      </c>
      <c r="D2935" s="113">
        <v>0</v>
      </c>
    </row>
    <row r="2936" spans="1:4">
      <c r="A2936" s="107">
        <v>10</v>
      </c>
      <c r="B2936" s="1331"/>
      <c r="C2936" t="s">
        <v>421</v>
      </c>
      <c r="D2936" s="113">
        <v>0</v>
      </c>
    </row>
    <row r="2937" spans="1:4">
      <c r="A2937" s="107">
        <v>9</v>
      </c>
      <c r="B2937" s="1331" t="s">
        <v>1569</v>
      </c>
      <c r="C2937" t="s">
        <v>444</v>
      </c>
      <c r="D2937" s="113">
        <v>6000</v>
      </c>
    </row>
    <row r="2938" spans="1:4">
      <c r="A2938" s="107">
        <v>9</v>
      </c>
      <c r="B2938" s="1331"/>
      <c r="C2938" t="s">
        <v>445</v>
      </c>
      <c r="D2938" s="113">
        <v>3000</v>
      </c>
    </row>
    <row r="2939" spans="1:4">
      <c r="A2939" s="107">
        <v>9</v>
      </c>
      <c r="B2939" s="1331"/>
      <c r="C2939" t="s">
        <v>446</v>
      </c>
      <c r="D2939" s="113">
        <v>0</v>
      </c>
    </row>
    <row r="2940" spans="1:4">
      <c r="A2940" s="107">
        <v>9</v>
      </c>
      <c r="B2940" s="1331"/>
      <c r="C2940" t="s">
        <v>1253</v>
      </c>
      <c r="D2940" s="113">
        <v>0</v>
      </c>
    </row>
    <row r="2941" spans="1:4">
      <c r="A2941" s="107">
        <v>9</v>
      </c>
      <c r="B2941" s="1331"/>
      <c r="C2941" t="s">
        <v>421</v>
      </c>
      <c r="D2941" s="113">
        <v>0</v>
      </c>
    </row>
    <row r="2942" spans="1:4">
      <c r="A2942" s="107"/>
    </row>
    <row r="2943" spans="1:4">
      <c r="A2943" s="107"/>
    </row>
    <row r="2944" spans="1:4">
      <c r="A2944" s="107"/>
    </row>
    <row r="2945" spans="1:1">
      <c r="A2945" s="107"/>
    </row>
    <row r="2946" spans="1:1">
      <c r="A2946" s="107"/>
    </row>
    <row r="2947" spans="1:1">
      <c r="A2947" s="107"/>
    </row>
    <row r="2948" spans="1:1">
      <c r="A2948" s="107"/>
    </row>
    <row r="2949" spans="1:1">
      <c r="A2949" s="107"/>
    </row>
    <row r="2950" spans="1:1">
      <c r="A2950" s="107"/>
    </row>
    <row r="2951" spans="1:1">
      <c r="A2951" s="107"/>
    </row>
    <row r="2952" spans="1:1">
      <c r="A2952" s="107"/>
    </row>
    <row r="2953" spans="1:1">
      <c r="A2953" s="107"/>
    </row>
    <row r="2954" spans="1:1">
      <c r="A2954" s="107"/>
    </row>
    <row r="2955" spans="1:1">
      <c r="A2955" s="107"/>
    </row>
    <row r="2956" spans="1:1">
      <c r="A2956" s="107"/>
    </row>
    <row r="2957" spans="1:1">
      <c r="A2957" s="107"/>
    </row>
    <row r="2958" spans="1:1">
      <c r="A2958" s="107"/>
    </row>
    <row r="2959" spans="1:1">
      <c r="A2959" s="107"/>
    </row>
    <row r="2960" spans="1:1">
      <c r="A2960" s="107"/>
    </row>
    <row r="2961" spans="1:1">
      <c r="A2961" s="107"/>
    </row>
    <row r="2962" spans="1:1">
      <c r="A2962" s="107"/>
    </row>
    <row r="2963" spans="1:1">
      <c r="A2963" s="107"/>
    </row>
    <row r="2964" spans="1:1">
      <c r="A2964" s="107"/>
    </row>
    <row r="2965" spans="1:1">
      <c r="A2965" s="107"/>
    </row>
    <row r="2966" spans="1:1">
      <c r="A2966" s="107"/>
    </row>
    <row r="2967" spans="1:1">
      <c r="A2967" s="107"/>
    </row>
    <row r="2968" spans="1:1">
      <c r="A2968" s="107"/>
    </row>
    <row r="2969" spans="1:1">
      <c r="A2969" s="107"/>
    </row>
    <row r="2970" spans="1:1">
      <c r="A2970" s="107"/>
    </row>
    <row r="2971" spans="1:1">
      <c r="A2971" s="107"/>
    </row>
    <row r="2972" spans="1:1">
      <c r="A2972" s="107"/>
    </row>
    <row r="2973" spans="1:1">
      <c r="A2973" s="107"/>
    </row>
    <row r="2974" spans="1:1">
      <c r="A2974" s="107"/>
    </row>
    <row r="2975" spans="1:1">
      <c r="A2975" s="107"/>
    </row>
    <row r="2976" spans="1:1">
      <c r="A2976" s="107"/>
    </row>
    <row r="2977" spans="1:1">
      <c r="A2977" s="107"/>
    </row>
    <row r="2978" spans="1:1">
      <c r="A2978" s="107"/>
    </row>
    <row r="2979" spans="1:1">
      <c r="A2979" s="107"/>
    </row>
    <row r="2980" spans="1:1">
      <c r="A2980" s="107"/>
    </row>
    <row r="2981" spans="1:1">
      <c r="A2981" s="107"/>
    </row>
    <row r="2982" spans="1:1">
      <c r="A2982" s="107"/>
    </row>
    <row r="2983" spans="1:1">
      <c r="A2983" s="107"/>
    </row>
    <row r="2984" spans="1:1">
      <c r="A2984" s="107"/>
    </row>
    <row r="2985" spans="1:1">
      <c r="A2985" s="107"/>
    </row>
    <row r="2986" spans="1:1">
      <c r="A2986" s="107"/>
    </row>
    <row r="2987" spans="1:1">
      <c r="A2987" s="107"/>
    </row>
    <row r="2988" spans="1:1">
      <c r="A2988" s="107"/>
    </row>
    <row r="2989" spans="1:1">
      <c r="A2989" s="107"/>
    </row>
    <row r="2990" spans="1:1">
      <c r="A2990" s="107"/>
    </row>
    <row r="2991" spans="1:1">
      <c r="A2991" s="107"/>
    </row>
    <row r="2992" spans="1:1">
      <c r="A2992" s="107"/>
    </row>
    <row r="2993" spans="1:1">
      <c r="A2993" s="107"/>
    </row>
    <row r="2994" spans="1:1">
      <c r="A2994" s="107"/>
    </row>
    <row r="2995" spans="1:1">
      <c r="A2995" s="107"/>
    </row>
    <row r="2996" spans="1:1">
      <c r="A2996" s="107"/>
    </row>
    <row r="2997" spans="1:1">
      <c r="A2997" s="107"/>
    </row>
    <row r="2998" spans="1:1">
      <c r="A2998" s="107"/>
    </row>
    <row r="2999" spans="1:1">
      <c r="A2999" s="107"/>
    </row>
    <row r="3000" spans="1:1">
      <c r="A3000" s="107"/>
    </row>
    <row r="3001" spans="1:1">
      <c r="A3001" s="107"/>
    </row>
    <row r="3002" spans="1:1">
      <c r="A3002" s="107"/>
    </row>
    <row r="3003" spans="1:1">
      <c r="A3003" s="107"/>
    </row>
    <row r="3004" spans="1:1">
      <c r="A3004" s="107"/>
    </row>
    <row r="3005" spans="1:1">
      <c r="A3005" s="107"/>
    </row>
    <row r="3006" spans="1:1">
      <c r="A3006" s="107"/>
    </row>
    <row r="3007" spans="1:1">
      <c r="A3007" s="107"/>
    </row>
    <row r="3008" spans="1:1">
      <c r="A3008" s="107"/>
    </row>
    <row r="3009" spans="1:1">
      <c r="A3009" s="107"/>
    </row>
    <row r="3010" spans="1:1">
      <c r="A3010" s="107"/>
    </row>
    <row r="3011" spans="1:1">
      <c r="A3011" s="107"/>
    </row>
    <row r="3012" spans="1:1">
      <c r="A3012" s="107"/>
    </row>
    <row r="3013" spans="1:1">
      <c r="A3013" s="107"/>
    </row>
    <row r="3014" spans="1:1">
      <c r="A3014" s="107"/>
    </row>
    <row r="3015" spans="1:1">
      <c r="A3015" s="107"/>
    </row>
    <row r="3016" spans="1:1">
      <c r="A3016" s="107"/>
    </row>
    <row r="3017" spans="1:1">
      <c r="A3017" s="107"/>
    </row>
    <row r="3018" spans="1:1">
      <c r="A3018" s="107"/>
    </row>
    <row r="3019" spans="1:1">
      <c r="A3019" s="107"/>
    </row>
    <row r="3020" spans="1:1">
      <c r="A3020" s="107"/>
    </row>
    <row r="3021" spans="1:1">
      <c r="A3021" s="107"/>
    </row>
    <row r="3022" spans="1:1">
      <c r="A3022" s="107"/>
    </row>
    <row r="3023" spans="1:1">
      <c r="A3023" s="107"/>
    </row>
    <row r="3024" spans="1:1">
      <c r="A3024" s="107"/>
    </row>
    <row r="3025" spans="1:1">
      <c r="A3025" s="107"/>
    </row>
    <row r="3026" spans="1:1">
      <c r="A3026" s="107"/>
    </row>
    <row r="3027" spans="1:1">
      <c r="A3027" s="107"/>
    </row>
    <row r="3028" spans="1:1">
      <c r="A3028" s="107"/>
    </row>
    <row r="3029" spans="1:1">
      <c r="A3029" s="107"/>
    </row>
    <row r="3030" spans="1:1">
      <c r="A3030" s="107"/>
    </row>
    <row r="3031" spans="1:1">
      <c r="A3031" s="107"/>
    </row>
    <row r="3032" spans="1:1">
      <c r="A3032" s="107"/>
    </row>
    <row r="3033" spans="1:1">
      <c r="A3033" s="107"/>
    </row>
    <row r="3034" spans="1:1">
      <c r="A3034" s="107"/>
    </row>
    <row r="3035" spans="1:1">
      <c r="A3035" s="107"/>
    </row>
    <row r="3036" spans="1:1">
      <c r="A3036" s="107"/>
    </row>
    <row r="3037" spans="1:1">
      <c r="A3037" s="107"/>
    </row>
    <row r="3038" spans="1:1">
      <c r="A3038" s="107"/>
    </row>
    <row r="3039" spans="1:1">
      <c r="A3039" s="107"/>
    </row>
    <row r="3040" spans="1:1">
      <c r="A3040" s="107"/>
    </row>
    <row r="3041" spans="1:1">
      <c r="A3041" s="107"/>
    </row>
    <row r="3042" spans="1:1">
      <c r="A3042" s="107"/>
    </row>
    <row r="3043" spans="1:1">
      <c r="A3043" s="107"/>
    </row>
    <row r="3044" spans="1:1">
      <c r="A3044" s="107"/>
    </row>
    <row r="3045" spans="1:1">
      <c r="A3045" s="107"/>
    </row>
    <row r="3046" spans="1:1">
      <c r="A3046" s="107"/>
    </row>
    <row r="3047" spans="1:1">
      <c r="A3047" s="107"/>
    </row>
    <row r="3048" spans="1:1">
      <c r="A3048" s="107"/>
    </row>
    <row r="3049" spans="1:1">
      <c r="A3049" s="107"/>
    </row>
    <row r="3050" spans="1:1">
      <c r="A3050" s="107"/>
    </row>
    <row r="3051" spans="1:1">
      <c r="A3051" s="107"/>
    </row>
    <row r="3052" spans="1:1">
      <c r="A3052" s="107"/>
    </row>
    <row r="3053" spans="1:1">
      <c r="A3053" s="107"/>
    </row>
    <row r="3054" spans="1:1">
      <c r="A3054" s="107"/>
    </row>
    <row r="3055" spans="1:1">
      <c r="A3055" s="107"/>
    </row>
    <row r="3056" spans="1:1">
      <c r="A3056" s="107"/>
    </row>
    <row r="3057" spans="1:1">
      <c r="A3057" s="107"/>
    </row>
    <row r="3058" spans="1:1">
      <c r="A3058" s="107"/>
    </row>
    <row r="3059" spans="1:1">
      <c r="A3059" s="107"/>
    </row>
    <row r="3060" spans="1:1">
      <c r="A3060" s="107"/>
    </row>
    <row r="3061" spans="1:1">
      <c r="A3061" s="107"/>
    </row>
    <row r="3062" spans="1:1">
      <c r="A3062" s="107"/>
    </row>
    <row r="3063" spans="1:1">
      <c r="A3063" s="107"/>
    </row>
    <row r="3064" spans="1:1">
      <c r="A3064" s="107"/>
    </row>
    <row r="3065" spans="1:1">
      <c r="A3065" s="107"/>
    </row>
    <row r="3066" spans="1:1">
      <c r="A3066" s="107"/>
    </row>
    <row r="3067" spans="1:1">
      <c r="A3067" s="107"/>
    </row>
    <row r="3068" spans="1:1">
      <c r="A3068" s="107"/>
    </row>
    <row r="3069" spans="1:1">
      <c r="A3069" s="107"/>
    </row>
    <row r="3070" spans="1:1">
      <c r="A3070" s="107"/>
    </row>
    <row r="3071" spans="1:1">
      <c r="A3071" s="107"/>
    </row>
    <row r="3072" spans="1:1">
      <c r="A3072" s="107"/>
    </row>
    <row r="3073" spans="1:1">
      <c r="A3073" s="107"/>
    </row>
    <row r="3074" spans="1:1">
      <c r="A3074" s="107"/>
    </row>
    <row r="3075" spans="1:1">
      <c r="A3075" s="107"/>
    </row>
    <row r="3076" spans="1:1">
      <c r="A3076" s="107"/>
    </row>
    <row r="3077" spans="1:1">
      <c r="A3077" s="107"/>
    </row>
    <row r="3078" spans="1:1">
      <c r="A3078" s="107"/>
    </row>
    <row r="3079" spans="1:1">
      <c r="A3079" s="107"/>
    </row>
    <row r="3080" spans="1:1">
      <c r="A3080" s="107"/>
    </row>
    <row r="3081" spans="1:1">
      <c r="A3081" s="107"/>
    </row>
    <row r="3082" spans="1:1">
      <c r="A3082" s="107"/>
    </row>
    <row r="3083" spans="1:1">
      <c r="A3083" s="107"/>
    </row>
    <row r="3084" spans="1:1">
      <c r="A3084" s="107"/>
    </row>
    <row r="3085" spans="1:1">
      <c r="A3085" s="107"/>
    </row>
    <row r="3086" spans="1:1">
      <c r="A3086" s="107"/>
    </row>
    <row r="3087" spans="1:1">
      <c r="A3087" s="107"/>
    </row>
    <row r="3088" spans="1:1">
      <c r="A3088" s="107"/>
    </row>
    <row r="3089" spans="1:1">
      <c r="A3089" s="107"/>
    </row>
    <row r="3090" spans="1:1">
      <c r="A3090" s="107"/>
    </row>
    <row r="3091" spans="1:1">
      <c r="A3091" s="107"/>
    </row>
    <row r="3092" spans="1:1">
      <c r="A3092" s="107"/>
    </row>
    <row r="3093" spans="1:1">
      <c r="A3093" s="107"/>
    </row>
    <row r="3094" spans="1:1">
      <c r="A3094" s="107"/>
    </row>
    <row r="3095" spans="1:1">
      <c r="A3095" s="107"/>
    </row>
    <row r="3096" spans="1:1">
      <c r="A3096" s="107"/>
    </row>
    <row r="3097" spans="1:1">
      <c r="A3097" s="107"/>
    </row>
    <row r="3098" spans="1:1">
      <c r="A3098" s="107"/>
    </row>
    <row r="3099" spans="1:1">
      <c r="A3099" s="107"/>
    </row>
    <row r="3100" spans="1:1">
      <c r="A3100" s="107"/>
    </row>
    <row r="3101" spans="1:1">
      <c r="A3101" s="107"/>
    </row>
    <row r="3102" spans="1:1">
      <c r="A3102" s="107"/>
    </row>
    <row r="3103" spans="1:1">
      <c r="A3103" s="107"/>
    </row>
    <row r="3104" spans="1:1">
      <c r="A3104" s="107"/>
    </row>
    <row r="3105" spans="1:1">
      <c r="A3105" s="107"/>
    </row>
    <row r="3106" spans="1:1">
      <c r="A3106" s="107"/>
    </row>
    <row r="3107" spans="1:1">
      <c r="A3107" s="107"/>
    </row>
    <row r="3108" spans="1:1">
      <c r="A3108" s="107"/>
    </row>
    <row r="3109" spans="1:1">
      <c r="A3109" s="107"/>
    </row>
    <row r="3110" spans="1:1">
      <c r="A3110" s="107"/>
    </row>
    <row r="3111" spans="1:1">
      <c r="A3111" s="107"/>
    </row>
    <row r="3112" spans="1:1">
      <c r="A3112" s="107"/>
    </row>
    <row r="3113" spans="1:1">
      <c r="A3113" s="107"/>
    </row>
    <row r="3114" spans="1:1">
      <c r="A3114" s="107"/>
    </row>
    <row r="3115" spans="1:1">
      <c r="A3115" s="107"/>
    </row>
    <row r="3116" spans="1:1">
      <c r="A3116" s="107"/>
    </row>
    <row r="3117" spans="1:1">
      <c r="A3117" s="107"/>
    </row>
    <row r="3118" spans="1:1">
      <c r="A3118" s="107"/>
    </row>
    <row r="3119" spans="1:1">
      <c r="A3119" s="107"/>
    </row>
    <row r="3120" spans="1:1">
      <c r="A3120" s="107"/>
    </row>
    <row r="3121" spans="1:1">
      <c r="A3121" s="107"/>
    </row>
    <row r="3122" spans="1:1">
      <c r="A3122" s="107"/>
    </row>
    <row r="3123" spans="1:1">
      <c r="A3123" s="107"/>
    </row>
    <row r="3124" spans="1:1">
      <c r="A3124" s="107"/>
    </row>
    <row r="3125" spans="1:1">
      <c r="A3125" s="107"/>
    </row>
    <row r="3126" spans="1:1">
      <c r="A3126" s="107"/>
    </row>
    <row r="3127" spans="1:1">
      <c r="A3127" s="107"/>
    </row>
    <row r="3128" spans="1:1">
      <c r="A3128" s="107"/>
    </row>
    <row r="3129" spans="1:1">
      <c r="A3129" s="107"/>
    </row>
    <row r="3130" spans="1:1">
      <c r="A3130" s="107"/>
    </row>
    <row r="3131" spans="1:1">
      <c r="A3131" s="107"/>
    </row>
    <row r="3132" spans="1:1">
      <c r="A3132" s="107"/>
    </row>
    <row r="3133" spans="1:1">
      <c r="A3133" s="107"/>
    </row>
    <row r="3134" spans="1:1">
      <c r="A3134" s="107"/>
    </row>
    <row r="3135" spans="1:1">
      <c r="A3135" s="107"/>
    </row>
    <row r="3136" spans="1:1">
      <c r="A3136" s="107"/>
    </row>
    <row r="3137" spans="1:1">
      <c r="A3137" s="107"/>
    </row>
    <row r="3138" spans="1:1">
      <c r="A3138" s="107"/>
    </row>
    <row r="3139" spans="1:1">
      <c r="A3139" s="107"/>
    </row>
    <row r="3140" spans="1:1">
      <c r="A3140" s="107"/>
    </row>
    <row r="3141" spans="1:1">
      <c r="A3141" s="107"/>
    </row>
    <row r="3142" spans="1:1">
      <c r="A3142" s="107"/>
    </row>
    <row r="3143" spans="1:1">
      <c r="A3143" s="107"/>
    </row>
    <row r="3144" spans="1:1">
      <c r="A3144" s="107"/>
    </row>
    <row r="3145" spans="1:1">
      <c r="A3145" s="107"/>
    </row>
    <row r="3146" spans="1:1">
      <c r="A3146" s="107"/>
    </row>
    <row r="3147" spans="1:1">
      <c r="A3147" s="107"/>
    </row>
    <row r="3148" spans="1:1">
      <c r="A3148" s="107"/>
    </row>
    <row r="3149" spans="1:1">
      <c r="A3149" s="107"/>
    </row>
    <row r="3150" spans="1:1">
      <c r="A3150" s="107"/>
    </row>
    <row r="3151" spans="1:1">
      <c r="A3151" s="107"/>
    </row>
    <row r="3152" spans="1:1">
      <c r="A3152" s="107"/>
    </row>
    <row r="3153" spans="1:1">
      <c r="A3153" s="107"/>
    </row>
    <row r="3154" spans="1:1">
      <c r="A3154" s="107"/>
    </row>
    <row r="3155" spans="1:1">
      <c r="A3155" s="107"/>
    </row>
    <row r="3156" spans="1:1">
      <c r="A3156" s="107"/>
    </row>
    <row r="3157" spans="1:1">
      <c r="A3157" s="107"/>
    </row>
    <row r="3158" spans="1:1">
      <c r="A3158" s="107"/>
    </row>
    <row r="3159" spans="1:1">
      <c r="A3159" s="107"/>
    </row>
    <row r="3160" spans="1:1">
      <c r="A3160" s="107"/>
    </row>
    <row r="3161" spans="1:1">
      <c r="A3161" s="107"/>
    </row>
    <row r="3162" spans="1:1">
      <c r="A3162" s="107"/>
    </row>
    <row r="3163" spans="1:1">
      <c r="A3163" s="107"/>
    </row>
    <row r="3164" spans="1:1">
      <c r="A3164" s="107"/>
    </row>
    <row r="3165" spans="1:1">
      <c r="A3165" s="107"/>
    </row>
    <row r="3166" spans="1:1">
      <c r="A3166" s="107"/>
    </row>
    <row r="3167" spans="1:1">
      <c r="A3167" s="107"/>
    </row>
    <row r="3168" spans="1:1">
      <c r="A3168" s="107"/>
    </row>
    <row r="3169" spans="1:1">
      <c r="A3169" s="107"/>
    </row>
    <row r="3170" spans="1:1">
      <c r="A3170" s="107"/>
    </row>
    <row r="3171" spans="1:1">
      <c r="A3171" s="107"/>
    </row>
    <row r="3172" spans="1:1">
      <c r="A3172" s="107"/>
    </row>
    <row r="3173" spans="1:1">
      <c r="A3173" s="107"/>
    </row>
    <row r="3174" spans="1:1">
      <c r="A3174" s="107"/>
    </row>
    <row r="3175" spans="1:1">
      <c r="A3175" s="107"/>
    </row>
    <row r="3176" spans="1:1">
      <c r="A3176" s="107"/>
    </row>
    <row r="3177" spans="1:1">
      <c r="A3177" s="107"/>
    </row>
    <row r="3178" spans="1:1">
      <c r="A3178" s="107"/>
    </row>
    <row r="3179" spans="1:1">
      <c r="A3179" s="107"/>
    </row>
    <row r="3180" spans="1:1">
      <c r="A3180" s="107"/>
    </row>
    <row r="3181" spans="1:1">
      <c r="A3181" s="107"/>
    </row>
    <row r="3182" spans="1:1">
      <c r="A3182" s="107"/>
    </row>
    <row r="3183" spans="1:1">
      <c r="A3183" s="107"/>
    </row>
    <row r="3184" spans="1:1">
      <c r="A3184" s="107"/>
    </row>
    <row r="3185" spans="1:1">
      <c r="A3185" s="107"/>
    </row>
    <row r="3186" spans="1:1">
      <c r="A3186" s="107"/>
    </row>
    <row r="3187" spans="1:1">
      <c r="A3187" s="107"/>
    </row>
    <row r="3188" spans="1:1">
      <c r="A3188" s="107"/>
    </row>
    <row r="3189" spans="1:1">
      <c r="A3189" s="107"/>
    </row>
    <row r="3190" spans="1:1">
      <c r="A3190" s="107"/>
    </row>
    <row r="3191" spans="1:1">
      <c r="A3191" s="107"/>
    </row>
    <row r="3192" spans="1:1">
      <c r="A3192" s="107"/>
    </row>
    <row r="3193" spans="1:1">
      <c r="A3193" s="107"/>
    </row>
    <row r="3194" spans="1:1">
      <c r="A3194" s="107"/>
    </row>
    <row r="3195" spans="1:1">
      <c r="A3195" s="107"/>
    </row>
    <row r="3196" spans="1:1">
      <c r="A3196" s="107"/>
    </row>
    <row r="3197" spans="1:1">
      <c r="A3197" s="107"/>
    </row>
    <row r="3198" spans="1:1">
      <c r="A3198" s="107"/>
    </row>
    <row r="3199" spans="1:1">
      <c r="A3199" s="107"/>
    </row>
    <row r="3200" spans="1:1">
      <c r="A3200" s="107"/>
    </row>
    <row r="3201" spans="1:1">
      <c r="A3201" s="107"/>
    </row>
    <row r="3202" spans="1:1">
      <c r="A3202" s="107"/>
    </row>
    <row r="3203" spans="1:1">
      <c r="A3203" s="107"/>
    </row>
    <row r="3204" spans="1:1">
      <c r="A3204" s="107"/>
    </row>
    <row r="3205" spans="1:1">
      <c r="A3205" s="107"/>
    </row>
    <row r="3206" spans="1:1">
      <c r="A3206" s="107"/>
    </row>
    <row r="3207" spans="1:1">
      <c r="A3207" s="107"/>
    </row>
    <row r="3208" spans="1:1">
      <c r="A3208" s="107"/>
    </row>
    <row r="3209" spans="1:1">
      <c r="A3209" s="107"/>
    </row>
    <row r="3210" spans="1:1">
      <c r="A3210" s="107"/>
    </row>
    <row r="3211" spans="1:1">
      <c r="A3211" s="107"/>
    </row>
    <row r="3212" spans="1:1">
      <c r="A3212" s="107"/>
    </row>
    <row r="3213" spans="1:1">
      <c r="A3213" s="107"/>
    </row>
    <row r="3214" spans="1:1">
      <c r="A3214" s="107"/>
    </row>
    <row r="3215" spans="1:1">
      <c r="A3215" s="107"/>
    </row>
    <row r="3216" spans="1:1">
      <c r="A3216" s="107"/>
    </row>
    <row r="3217" spans="1:1">
      <c r="A3217" s="107"/>
    </row>
    <row r="3218" spans="1:1">
      <c r="A3218" s="107"/>
    </row>
    <row r="3219" spans="1:1">
      <c r="A3219" s="107"/>
    </row>
    <row r="3220" spans="1:1">
      <c r="A3220" s="107"/>
    </row>
    <row r="3221" spans="1:1">
      <c r="A3221" s="107"/>
    </row>
    <row r="3222" spans="1:1">
      <c r="A3222" s="107"/>
    </row>
    <row r="3223" spans="1:1">
      <c r="A3223" s="107"/>
    </row>
    <row r="3224" spans="1:1">
      <c r="A3224" s="107"/>
    </row>
    <row r="3225" spans="1:1">
      <c r="A3225" s="107"/>
    </row>
    <row r="3226" spans="1:1">
      <c r="A3226" s="107"/>
    </row>
    <row r="3227" spans="1:1">
      <c r="A3227" s="107"/>
    </row>
    <row r="3228" spans="1:1">
      <c r="A3228" s="107"/>
    </row>
    <row r="3229" spans="1:1">
      <c r="A3229" s="107"/>
    </row>
    <row r="3230" spans="1:1">
      <c r="A3230" s="107"/>
    </row>
    <row r="3231" spans="1:1">
      <c r="A3231" s="107"/>
    </row>
    <row r="3232" spans="1:1">
      <c r="A3232" s="107"/>
    </row>
    <row r="3233" spans="1:1">
      <c r="A3233" s="107"/>
    </row>
    <row r="3234" spans="1:1">
      <c r="A3234" s="107"/>
    </row>
    <row r="3235" spans="1:1">
      <c r="A3235" s="107"/>
    </row>
    <row r="3236" spans="1:1">
      <c r="A3236" s="107"/>
    </row>
    <row r="3237" spans="1:1">
      <c r="A3237" s="107"/>
    </row>
    <row r="3238" spans="1:1">
      <c r="A3238" s="107"/>
    </row>
    <row r="3239" spans="1:1">
      <c r="A3239" s="107"/>
    </row>
    <row r="3240" spans="1:1">
      <c r="A3240" s="107"/>
    </row>
    <row r="3241" spans="1:1">
      <c r="A3241" s="107"/>
    </row>
    <row r="3242" spans="1:1">
      <c r="A3242" s="107"/>
    </row>
    <row r="3243" spans="1:1">
      <c r="A3243" s="107"/>
    </row>
    <row r="3244" spans="1:1">
      <c r="A3244" s="107"/>
    </row>
    <row r="3245" spans="1:1">
      <c r="A3245" s="107"/>
    </row>
    <row r="3246" spans="1:1">
      <c r="A3246" s="107"/>
    </row>
    <row r="3247" spans="1:1">
      <c r="A3247" s="107"/>
    </row>
    <row r="3248" spans="1:1">
      <c r="A3248" s="107"/>
    </row>
    <row r="3249" spans="1:1">
      <c r="A3249" s="107"/>
    </row>
    <row r="3250" spans="1:1">
      <c r="A3250" s="107"/>
    </row>
    <row r="3251" spans="1:1">
      <c r="A3251" s="107"/>
    </row>
    <row r="3252" spans="1:1">
      <c r="A3252" s="107"/>
    </row>
    <row r="3253" spans="1:1">
      <c r="A3253" s="107"/>
    </row>
    <row r="3254" spans="1:1">
      <c r="A3254" s="107"/>
    </row>
    <row r="3255" spans="1:1">
      <c r="A3255" s="107"/>
    </row>
    <row r="3256" spans="1:1">
      <c r="A3256" s="107"/>
    </row>
    <row r="3257" spans="1:1">
      <c r="A3257" s="107"/>
    </row>
    <row r="3258" spans="1:1">
      <c r="A3258" s="107"/>
    </row>
    <row r="3259" spans="1:1">
      <c r="A3259" s="107"/>
    </row>
    <row r="3260" spans="1:1">
      <c r="A3260" s="107"/>
    </row>
    <row r="3261" spans="1:1">
      <c r="A3261" s="107"/>
    </row>
    <row r="3262" spans="1:1">
      <c r="A3262" s="107"/>
    </row>
    <row r="3263" spans="1:1">
      <c r="A3263" s="107"/>
    </row>
    <row r="3264" spans="1:1">
      <c r="A3264" s="107"/>
    </row>
    <row r="3265" spans="1:1">
      <c r="A3265" s="107"/>
    </row>
    <row r="3266" spans="1:1">
      <c r="A3266" s="107"/>
    </row>
    <row r="3267" spans="1:1">
      <c r="A3267" s="107"/>
    </row>
    <row r="3268" spans="1:1">
      <c r="A3268" s="107"/>
    </row>
    <row r="3269" spans="1:1">
      <c r="A3269" s="107"/>
    </row>
    <row r="3270" spans="1:1">
      <c r="A3270" s="107"/>
    </row>
    <row r="3271" spans="1:1">
      <c r="A3271" s="107"/>
    </row>
    <row r="3272" spans="1:1">
      <c r="A3272" s="107"/>
    </row>
    <row r="3273" spans="1:1">
      <c r="A3273" s="107"/>
    </row>
    <row r="3274" spans="1:1">
      <c r="A3274" s="107"/>
    </row>
    <row r="3275" spans="1:1">
      <c r="A3275" s="107"/>
    </row>
    <row r="3276" spans="1:1">
      <c r="A3276" s="107"/>
    </row>
    <row r="3277" spans="1:1">
      <c r="A3277" s="107"/>
    </row>
    <row r="3278" spans="1:1">
      <c r="A3278" s="107"/>
    </row>
    <row r="3279" spans="1:1">
      <c r="A3279" s="107"/>
    </row>
    <row r="3280" spans="1:1">
      <c r="A3280" s="107"/>
    </row>
    <row r="3281" spans="1:1">
      <c r="A3281" s="107"/>
    </row>
    <row r="3282" spans="1:1">
      <c r="A3282" s="107"/>
    </row>
    <row r="3283" spans="1:1">
      <c r="A3283" s="107"/>
    </row>
    <row r="3284" spans="1:1">
      <c r="A3284" s="107"/>
    </row>
    <row r="3285" spans="1:1">
      <c r="A3285" s="107"/>
    </row>
    <row r="3286" spans="1:1">
      <c r="A3286" s="107"/>
    </row>
    <row r="3287" spans="1:1">
      <c r="A3287" s="107"/>
    </row>
    <row r="3288" spans="1:1">
      <c r="A3288" s="107"/>
    </row>
    <row r="3289" spans="1:1">
      <c r="A3289" s="107"/>
    </row>
    <row r="3290" spans="1:1">
      <c r="A3290" s="107"/>
    </row>
    <row r="3291" spans="1:1">
      <c r="A3291" s="107"/>
    </row>
    <row r="3292" spans="1:1">
      <c r="A3292" s="107"/>
    </row>
    <row r="3293" spans="1:1">
      <c r="A3293" s="107"/>
    </row>
    <row r="3294" spans="1:1">
      <c r="A3294" s="107"/>
    </row>
    <row r="3295" spans="1:1">
      <c r="A3295" s="107"/>
    </row>
    <row r="3296" spans="1:1">
      <c r="A3296" s="107"/>
    </row>
    <row r="3297" spans="1:1">
      <c r="A3297" s="107"/>
    </row>
    <row r="3298" spans="1:1">
      <c r="A3298" s="107"/>
    </row>
    <row r="3299" spans="1:1">
      <c r="A3299" s="107"/>
    </row>
    <row r="3300" spans="1:1">
      <c r="A3300" s="107"/>
    </row>
    <row r="3301" spans="1:1">
      <c r="A3301" s="107"/>
    </row>
    <row r="3302" spans="1:1">
      <c r="A3302" s="107"/>
    </row>
    <row r="3303" spans="1:1">
      <c r="A3303" s="107"/>
    </row>
    <row r="3304" spans="1:1">
      <c r="A3304" s="107"/>
    </row>
    <row r="3305" spans="1:1">
      <c r="A3305" s="107"/>
    </row>
    <row r="3306" spans="1:1">
      <c r="A3306" s="107"/>
    </row>
    <row r="3307" spans="1:1">
      <c r="A3307" s="107"/>
    </row>
    <row r="3308" spans="1:1">
      <c r="A3308" s="107"/>
    </row>
    <row r="3309" spans="1:1">
      <c r="A3309" s="107"/>
    </row>
    <row r="3310" spans="1:1">
      <c r="A3310" s="107"/>
    </row>
    <row r="3311" spans="1:1">
      <c r="A3311" s="107"/>
    </row>
    <row r="3312" spans="1:1">
      <c r="A3312" s="107"/>
    </row>
    <row r="3313" spans="1:1">
      <c r="A3313" s="107"/>
    </row>
    <row r="3314" spans="1:1">
      <c r="A3314" s="107"/>
    </row>
    <row r="3315" spans="1:1">
      <c r="A3315" s="107"/>
    </row>
    <row r="3316" spans="1:1">
      <c r="A3316" s="107"/>
    </row>
    <row r="3317" spans="1:1">
      <c r="A3317" s="107"/>
    </row>
    <row r="3318" spans="1:1">
      <c r="A3318" s="107"/>
    </row>
    <row r="3319" spans="1:1">
      <c r="A3319" s="107"/>
    </row>
    <row r="3320" spans="1:1">
      <c r="A3320" s="107"/>
    </row>
    <row r="3321" spans="1:1">
      <c r="A3321" s="107"/>
    </row>
    <row r="3322" spans="1:1">
      <c r="A3322" s="107"/>
    </row>
    <row r="3323" spans="1:1">
      <c r="A3323" s="107"/>
    </row>
    <row r="3324" spans="1:1">
      <c r="A3324" s="107"/>
    </row>
    <row r="3325" spans="1:1">
      <c r="A3325" s="107"/>
    </row>
    <row r="3326" spans="1:1">
      <c r="A3326" s="107"/>
    </row>
    <row r="3327" spans="1:1">
      <c r="A3327" s="107"/>
    </row>
    <row r="3328" spans="1:1">
      <c r="A3328" s="107"/>
    </row>
    <row r="3329" spans="1:1">
      <c r="A3329" s="107"/>
    </row>
    <row r="3330" spans="1:1">
      <c r="A3330" s="107"/>
    </row>
    <row r="3331" spans="1:1">
      <c r="A3331" s="107"/>
    </row>
    <row r="3332" spans="1:1">
      <c r="A3332" s="107"/>
    </row>
    <row r="3333" spans="1:1">
      <c r="A3333" s="107"/>
    </row>
    <row r="3334" spans="1:1">
      <c r="A3334" s="107"/>
    </row>
    <row r="3335" spans="1:1">
      <c r="A3335" s="107"/>
    </row>
    <row r="3336" spans="1:1">
      <c r="A3336" s="107"/>
    </row>
    <row r="3337" spans="1:1">
      <c r="A3337" s="107"/>
    </row>
    <row r="3338" spans="1:1">
      <c r="A3338" s="107"/>
    </row>
    <row r="3339" spans="1:1">
      <c r="A3339" s="107"/>
    </row>
    <row r="3340" spans="1:1">
      <c r="A3340" s="107"/>
    </row>
    <row r="3341" spans="1:1">
      <c r="A3341" s="107"/>
    </row>
    <row r="3342" spans="1:1">
      <c r="A3342" s="107"/>
    </row>
    <row r="3343" spans="1:1">
      <c r="A3343" s="107"/>
    </row>
    <row r="3344" spans="1:1">
      <c r="A3344" s="107"/>
    </row>
    <row r="3345" spans="1:1">
      <c r="A3345" s="107"/>
    </row>
    <row r="3346" spans="1:1">
      <c r="A3346" s="107"/>
    </row>
    <row r="3347" spans="1:1">
      <c r="A3347" s="107"/>
    </row>
    <row r="3348" spans="1:1">
      <c r="A3348" s="107"/>
    </row>
    <row r="3349" spans="1:1">
      <c r="A3349" s="107"/>
    </row>
    <row r="3350" spans="1:1">
      <c r="A3350" s="107"/>
    </row>
    <row r="3351" spans="1:1">
      <c r="A3351" s="107"/>
    </row>
    <row r="3352" spans="1:1">
      <c r="A3352" s="107"/>
    </row>
    <row r="3353" spans="1:1">
      <c r="A3353" s="107"/>
    </row>
    <row r="3354" spans="1:1">
      <c r="A3354" s="107"/>
    </row>
    <row r="3355" spans="1:1">
      <c r="A3355" s="107"/>
    </row>
    <row r="3356" spans="1:1">
      <c r="A3356" s="107"/>
    </row>
    <row r="3357" spans="1:1">
      <c r="A3357" s="107"/>
    </row>
    <row r="3358" spans="1:1">
      <c r="A3358" s="107"/>
    </row>
    <row r="3359" spans="1:1">
      <c r="A3359" s="107"/>
    </row>
    <row r="3360" spans="1:1">
      <c r="A3360" s="107"/>
    </row>
    <row r="3361" spans="1:1">
      <c r="A3361" s="107"/>
    </row>
    <row r="3362" spans="1:1">
      <c r="A3362" s="107"/>
    </row>
    <row r="3363" spans="1:1">
      <c r="A3363" s="107"/>
    </row>
    <row r="3364" spans="1:1">
      <c r="A3364" s="107"/>
    </row>
    <row r="3365" spans="1:1">
      <c r="A3365" s="107"/>
    </row>
    <row r="3366" spans="1:1">
      <c r="A3366" s="107"/>
    </row>
    <row r="3367" spans="1:1">
      <c r="A3367" s="107"/>
    </row>
    <row r="3368" spans="1:1">
      <c r="A3368" s="107"/>
    </row>
    <row r="3369" spans="1:1">
      <c r="A3369" s="107"/>
    </row>
    <row r="3370" spans="1:1">
      <c r="A3370" s="107"/>
    </row>
    <row r="3371" spans="1:1">
      <c r="A3371" s="107"/>
    </row>
    <row r="3372" spans="1:1">
      <c r="A3372" s="107"/>
    </row>
    <row r="3373" spans="1:1">
      <c r="A3373" s="107"/>
    </row>
    <row r="3374" spans="1:1">
      <c r="A3374" s="107"/>
    </row>
    <row r="3375" spans="1:1">
      <c r="A3375" s="107"/>
    </row>
    <row r="3376" spans="1:1">
      <c r="A3376" s="107"/>
    </row>
    <row r="3377" spans="1:1">
      <c r="A3377" s="107"/>
    </row>
    <row r="3378" spans="1:1">
      <c r="A3378" s="107"/>
    </row>
    <row r="3379" spans="1:1">
      <c r="A3379" s="107"/>
    </row>
    <row r="3380" spans="1:1">
      <c r="A3380" s="107"/>
    </row>
    <row r="3381" spans="1:1">
      <c r="A3381" s="107"/>
    </row>
    <row r="3382" spans="1:1">
      <c r="A3382" s="107"/>
    </row>
    <row r="3383" spans="1:1">
      <c r="A3383" s="107"/>
    </row>
    <row r="3384" spans="1:1">
      <c r="A3384" s="107"/>
    </row>
    <row r="3385" spans="1:1">
      <c r="A3385" s="107"/>
    </row>
    <row r="3386" spans="1:1">
      <c r="A3386" s="107"/>
    </row>
    <row r="3387" spans="1:1">
      <c r="A3387" s="107"/>
    </row>
    <row r="3388" spans="1:1">
      <c r="A3388" s="107"/>
    </row>
    <row r="3389" spans="1:1">
      <c r="A3389" s="107"/>
    </row>
    <row r="3390" spans="1:1">
      <c r="A3390" s="107"/>
    </row>
    <row r="3391" spans="1:1">
      <c r="A3391" s="107"/>
    </row>
    <row r="3392" spans="1:1">
      <c r="A3392" s="107"/>
    </row>
    <row r="3393" spans="1:1">
      <c r="A3393" s="107"/>
    </row>
    <row r="3394" spans="1:1">
      <c r="A3394" s="107"/>
    </row>
    <row r="3395" spans="1:1">
      <c r="A3395" s="107"/>
    </row>
    <row r="3396" spans="1:1">
      <c r="A3396" s="107"/>
    </row>
    <row r="3397" spans="1:1">
      <c r="A3397" s="107"/>
    </row>
    <row r="3398" spans="1:1">
      <c r="A3398" s="107"/>
    </row>
    <row r="3399" spans="1:1">
      <c r="A3399" s="107"/>
    </row>
    <row r="3400" spans="1:1">
      <c r="A3400" s="107"/>
    </row>
    <row r="3401" spans="1:1">
      <c r="A3401" s="107"/>
    </row>
    <row r="3402" spans="1:1">
      <c r="A3402" s="107"/>
    </row>
    <row r="3403" spans="1:1">
      <c r="A3403" s="107"/>
    </row>
    <row r="3404" spans="1:1">
      <c r="A3404" s="107"/>
    </row>
    <row r="3405" spans="1:1">
      <c r="A3405" s="107"/>
    </row>
    <row r="3406" spans="1:1">
      <c r="A3406" s="107"/>
    </row>
    <row r="3407" spans="1:1">
      <c r="A3407" s="107"/>
    </row>
    <row r="3408" spans="1:1">
      <c r="A3408" s="107"/>
    </row>
    <row r="3409" spans="1:1">
      <c r="A3409" s="107"/>
    </row>
    <row r="3410" spans="1:1">
      <c r="A3410" s="107"/>
    </row>
    <row r="3411" spans="1:1">
      <c r="A3411" s="107"/>
    </row>
    <row r="3412" spans="1:1">
      <c r="A3412" s="107"/>
    </row>
    <row r="3413" spans="1:1">
      <c r="A3413" s="107"/>
    </row>
    <row r="3414" spans="1:1">
      <c r="A3414" s="107"/>
    </row>
    <row r="3415" spans="1:1">
      <c r="A3415" s="107"/>
    </row>
    <row r="3416" spans="1:1">
      <c r="A3416" s="107"/>
    </row>
    <row r="3417" spans="1:1">
      <c r="A3417" s="107"/>
    </row>
    <row r="3418" spans="1:1">
      <c r="A3418" s="107"/>
    </row>
    <row r="3419" spans="1:1">
      <c r="A3419" s="107"/>
    </row>
    <row r="3420" spans="1:1">
      <c r="A3420" s="107"/>
    </row>
    <row r="3421" spans="1:1">
      <c r="A3421" s="107"/>
    </row>
    <row r="3422" spans="1:1">
      <c r="A3422" s="107"/>
    </row>
    <row r="3423" spans="1:1">
      <c r="A3423" s="107"/>
    </row>
    <row r="3424" spans="1:1">
      <c r="A3424" s="107"/>
    </row>
    <row r="3425" spans="1:1">
      <c r="A3425" s="107"/>
    </row>
    <row r="3426" spans="1:1">
      <c r="A3426" s="107"/>
    </row>
    <row r="3427" spans="1:1">
      <c r="A3427" s="107"/>
    </row>
    <row r="3428" spans="1:1">
      <c r="A3428" s="107"/>
    </row>
    <row r="3429" spans="1:1">
      <c r="A3429" s="107"/>
    </row>
    <row r="3430" spans="1:1">
      <c r="A3430" s="107"/>
    </row>
    <row r="3431" spans="1:1">
      <c r="A3431" s="107"/>
    </row>
    <row r="3432" spans="1:1">
      <c r="A3432" s="107"/>
    </row>
    <row r="3433" spans="1:1">
      <c r="A3433" s="107"/>
    </row>
    <row r="3434" spans="1:1">
      <c r="A3434" s="107"/>
    </row>
    <row r="3435" spans="1:1">
      <c r="A3435" s="107"/>
    </row>
    <row r="3436" spans="1:1">
      <c r="A3436" s="107"/>
    </row>
    <row r="3437" spans="1:1">
      <c r="A3437" s="107"/>
    </row>
    <row r="3438" spans="1:1">
      <c r="A3438" s="107"/>
    </row>
    <row r="3439" spans="1:1">
      <c r="A3439" s="107"/>
    </row>
    <row r="3440" spans="1:1">
      <c r="A3440" s="107"/>
    </row>
    <row r="3441" spans="1:1">
      <c r="A3441" s="107"/>
    </row>
    <row r="3442" spans="1:1">
      <c r="A3442" s="107"/>
    </row>
    <row r="3443" spans="1:1">
      <c r="A3443" s="107"/>
    </row>
    <row r="3444" spans="1:1">
      <c r="A3444" s="107"/>
    </row>
    <row r="3445" spans="1:1">
      <c r="A3445" s="107"/>
    </row>
    <row r="3446" spans="1:1">
      <c r="A3446" s="107"/>
    </row>
    <row r="3447" spans="1:1">
      <c r="A3447" s="107"/>
    </row>
    <row r="3448" spans="1:1">
      <c r="A3448" s="107"/>
    </row>
    <row r="3449" spans="1:1">
      <c r="A3449" s="107"/>
    </row>
    <row r="3450" spans="1:1">
      <c r="A3450" s="107"/>
    </row>
    <row r="3451" spans="1:1">
      <c r="A3451" s="107"/>
    </row>
    <row r="3452" spans="1:1">
      <c r="A3452" s="107"/>
    </row>
    <row r="3453" spans="1:1">
      <c r="A3453" s="107"/>
    </row>
    <row r="3454" spans="1:1">
      <c r="A3454" s="107"/>
    </row>
    <row r="3455" spans="1:1">
      <c r="A3455" s="107"/>
    </row>
    <row r="3456" spans="1:1">
      <c r="A3456" s="107"/>
    </row>
    <row r="3457" spans="1:1">
      <c r="A3457" s="107"/>
    </row>
    <row r="3458" spans="1:1">
      <c r="A3458" s="107"/>
    </row>
    <row r="3459" spans="1:1">
      <c r="A3459" s="107"/>
    </row>
    <row r="3460" spans="1:1">
      <c r="A3460" s="107"/>
    </row>
    <row r="3461" spans="1:1">
      <c r="A3461" s="107"/>
    </row>
    <row r="3462" spans="1:1">
      <c r="A3462" s="107"/>
    </row>
    <row r="3463" spans="1:1">
      <c r="A3463" s="107"/>
    </row>
    <row r="3464" spans="1:1">
      <c r="A3464" s="107"/>
    </row>
    <row r="3465" spans="1:1">
      <c r="A3465" s="107"/>
    </row>
    <row r="3466" spans="1:1">
      <c r="A3466" s="107"/>
    </row>
    <row r="3467" spans="1:1">
      <c r="A3467" s="107"/>
    </row>
    <row r="3468" spans="1:1">
      <c r="A3468" s="107"/>
    </row>
    <row r="3469" spans="1:1">
      <c r="A3469" s="107"/>
    </row>
    <row r="3470" spans="1:1">
      <c r="A3470" s="107"/>
    </row>
    <row r="3471" spans="1:1">
      <c r="A3471" s="107"/>
    </row>
    <row r="3472" spans="1:1">
      <c r="A3472" s="107"/>
    </row>
    <row r="3473" spans="1:1">
      <c r="A3473" s="107"/>
    </row>
    <row r="3474" spans="1:1">
      <c r="A3474" s="107"/>
    </row>
    <row r="3475" spans="1:1">
      <c r="A3475" s="107"/>
    </row>
    <row r="3476" spans="1:1">
      <c r="A3476" s="107"/>
    </row>
    <row r="3477" spans="1:1">
      <c r="A3477" s="107"/>
    </row>
    <row r="3478" spans="1:1">
      <c r="A3478" s="107"/>
    </row>
    <row r="3479" spans="1:1">
      <c r="A3479" s="107"/>
    </row>
    <row r="3480" spans="1:1">
      <c r="A3480" s="107"/>
    </row>
    <row r="3481" spans="1:1">
      <c r="A3481" s="107"/>
    </row>
    <row r="3482" spans="1:1">
      <c r="A3482" s="107"/>
    </row>
    <row r="3483" spans="1:1">
      <c r="A3483" s="107"/>
    </row>
    <row r="3484" spans="1:1">
      <c r="A3484" s="107"/>
    </row>
    <row r="3485" spans="1:1">
      <c r="A3485" s="107"/>
    </row>
    <row r="3486" spans="1:1">
      <c r="A3486" s="107"/>
    </row>
    <row r="3487" spans="1:1">
      <c r="A3487" s="107"/>
    </row>
    <row r="3488" spans="1:1">
      <c r="A3488" s="107"/>
    </row>
    <row r="3489" spans="1:1">
      <c r="A3489" s="107"/>
    </row>
    <row r="3490" spans="1:1">
      <c r="A3490" s="107"/>
    </row>
    <row r="3491" spans="1:1">
      <c r="A3491" s="107"/>
    </row>
    <row r="3492" spans="1:1">
      <c r="A3492" s="107"/>
    </row>
    <row r="3493" spans="1:1">
      <c r="A3493" s="107"/>
    </row>
    <row r="3494" spans="1:1">
      <c r="A3494" s="107"/>
    </row>
    <row r="3495" spans="1:1">
      <c r="A3495" s="107"/>
    </row>
    <row r="3496" spans="1:1">
      <c r="A3496" s="107"/>
    </row>
    <row r="3497" spans="1:1">
      <c r="A3497" s="107"/>
    </row>
    <row r="3498" spans="1:1">
      <c r="A3498" s="107"/>
    </row>
    <row r="3499" spans="1:1">
      <c r="A3499" s="107"/>
    </row>
    <row r="3500" spans="1:1">
      <c r="A3500" s="107"/>
    </row>
    <row r="3501" spans="1:1">
      <c r="A3501" s="107"/>
    </row>
    <row r="3502" spans="1:1">
      <c r="A3502" s="107"/>
    </row>
    <row r="3503" spans="1:1">
      <c r="A3503" s="107"/>
    </row>
    <row r="3504" spans="1:1">
      <c r="A3504" s="107"/>
    </row>
  </sheetData>
  <mergeCells count="592">
    <mergeCell ref="BM3:BM4"/>
    <mergeCell ref="O22:P22"/>
    <mergeCell ref="O23:P23"/>
    <mergeCell ref="O24:P24"/>
    <mergeCell ref="O25:P25"/>
    <mergeCell ref="O26:P26"/>
    <mergeCell ref="B2937:B2941"/>
    <mergeCell ref="B2502:B2506"/>
    <mergeCell ref="B2507:B2511"/>
    <mergeCell ref="B2577:B2581"/>
    <mergeCell ref="B2897:B2901"/>
    <mergeCell ref="B2892:B2896"/>
    <mergeCell ref="B2887:B2891"/>
    <mergeCell ref="B2927:B2931"/>
    <mergeCell ref="B2932:B2936"/>
    <mergeCell ref="B2847:B2851"/>
    <mergeCell ref="B2852:B2856"/>
    <mergeCell ref="B2857:B2861"/>
    <mergeCell ref="B2862:B2866"/>
    <mergeCell ref="B2867:B2871"/>
    <mergeCell ref="B2872:B2876"/>
    <mergeCell ref="B2877:B2881"/>
    <mergeCell ref="B2882:B2886"/>
    <mergeCell ref="B2902:B2906"/>
    <mergeCell ref="B2907:B2911"/>
    <mergeCell ref="B2912:B2916"/>
    <mergeCell ref="B2917:B2921"/>
    <mergeCell ref="B2922:B2926"/>
    <mergeCell ref="B2807:B2811"/>
    <mergeCell ref="B2812:B2816"/>
    <mergeCell ref="B2817:B2821"/>
    <mergeCell ref="B2822:B2826"/>
    <mergeCell ref="B2827:B2831"/>
    <mergeCell ref="B2832:B2836"/>
    <mergeCell ref="B2837:B2841"/>
    <mergeCell ref="B2842:B2846"/>
    <mergeCell ref="B2797:B2801"/>
    <mergeCell ref="B2802:B2806"/>
    <mergeCell ref="B2692:B2696"/>
    <mergeCell ref="B2697:B2701"/>
    <mergeCell ref="B2702:B2706"/>
    <mergeCell ref="B2707:B2711"/>
    <mergeCell ref="B2712:B2716"/>
    <mergeCell ref="B2717:B2721"/>
    <mergeCell ref="B2722:B2726"/>
    <mergeCell ref="B2727:B2731"/>
    <mergeCell ref="B2732:B2736"/>
    <mergeCell ref="B2737:B2741"/>
    <mergeCell ref="B2742:B2746"/>
    <mergeCell ref="B2747:B2751"/>
    <mergeCell ref="B2752:B2756"/>
    <mergeCell ref="B2757:B2761"/>
    <mergeCell ref="B2762:B2766"/>
    <mergeCell ref="B2767:B2771"/>
    <mergeCell ref="B2772:B2776"/>
    <mergeCell ref="B2777:B2781"/>
    <mergeCell ref="B2782:B2786"/>
    <mergeCell ref="B2792:B2796"/>
    <mergeCell ref="B2592:B2596"/>
    <mergeCell ref="B2597:B2601"/>
    <mergeCell ref="B2602:B2606"/>
    <mergeCell ref="B2607:B2611"/>
    <mergeCell ref="B2612:B2616"/>
    <mergeCell ref="B2572:B2576"/>
    <mergeCell ref="B2582:B2586"/>
    <mergeCell ref="B2587:B2591"/>
    <mergeCell ref="B2787:B2791"/>
    <mergeCell ref="B2657:B2661"/>
    <mergeCell ref="B2662:B2666"/>
    <mergeCell ref="B2667:B2671"/>
    <mergeCell ref="B2672:B2676"/>
    <mergeCell ref="B2677:B2681"/>
    <mergeCell ref="B2682:B2686"/>
    <mergeCell ref="B2687:B2691"/>
    <mergeCell ref="B2617:B2621"/>
    <mergeCell ref="B2622:B2626"/>
    <mergeCell ref="B2627:B2631"/>
    <mergeCell ref="B2632:B2636"/>
    <mergeCell ref="B2637:B2641"/>
    <mergeCell ref="B2642:B2646"/>
    <mergeCell ref="B2647:B2651"/>
    <mergeCell ref="B2652:B2656"/>
    <mergeCell ref="B2562:B2566"/>
    <mergeCell ref="B2567:B2571"/>
    <mergeCell ref="B2447:B2451"/>
    <mergeCell ref="B2452:B2456"/>
    <mergeCell ref="B2457:B2461"/>
    <mergeCell ref="B2462:B2466"/>
    <mergeCell ref="B2467:B2471"/>
    <mergeCell ref="B2472:B2476"/>
    <mergeCell ref="B2477:B2481"/>
    <mergeCell ref="B2482:B2486"/>
    <mergeCell ref="B2487:B2491"/>
    <mergeCell ref="B2492:B2496"/>
    <mergeCell ref="B2497:B2501"/>
    <mergeCell ref="B2512:B2516"/>
    <mergeCell ref="B2517:B2521"/>
    <mergeCell ref="B2522:B2526"/>
    <mergeCell ref="B2527:B2531"/>
    <mergeCell ref="B2532:B2536"/>
    <mergeCell ref="B2537:B2541"/>
    <mergeCell ref="B2542:B2546"/>
    <mergeCell ref="B2547:B2551"/>
    <mergeCell ref="B2552:B2556"/>
    <mergeCell ref="B2302:B2306"/>
    <mergeCell ref="B2307:B2311"/>
    <mergeCell ref="B2312:B2316"/>
    <mergeCell ref="B2317:B2321"/>
    <mergeCell ref="B2322:B2326"/>
    <mergeCell ref="B2417:B2421"/>
    <mergeCell ref="B2422:B2426"/>
    <mergeCell ref="B2427:B2431"/>
    <mergeCell ref="B2557:B2561"/>
    <mergeCell ref="B2442:B2446"/>
    <mergeCell ref="B2327:B2331"/>
    <mergeCell ref="B2332:B2336"/>
    <mergeCell ref="B2337:B2341"/>
    <mergeCell ref="B2342:B2346"/>
    <mergeCell ref="B2347:B2351"/>
    <mergeCell ref="B2357:B2361"/>
    <mergeCell ref="B2362:B2366"/>
    <mergeCell ref="B2367:B2371"/>
    <mergeCell ref="B2352:B2356"/>
    <mergeCell ref="B2157:B2161"/>
    <mergeCell ref="B2162:B2166"/>
    <mergeCell ref="B2172:B2176"/>
    <mergeCell ref="B2177:B2181"/>
    <mergeCell ref="B2182:B2186"/>
    <mergeCell ref="B2187:B2191"/>
    <mergeCell ref="B2432:B2436"/>
    <mergeCell ref="B2437:B2441"/>
    <mergeCell ref="B2392:B2396"/>
    <mergeCell ref="B2397:B2401"/>
    <mergeCell ref="B2402:B2406"/>
    <mergeCell ref="B2407:B2411"/>
    <mergeCell ref="B2412:B2416"/>
    <mergeCell ref="B2267:B2271"/>
    <mergeCell ref="B2272:B2276"/>
    <mergeCell ref="B2372:B2376"/>
    <mergeCell ref="B2377:B2381"/>
    <mergeCell ref="B2382:B2386"/>
    <mergeCell ref="B2387:B2391"/>
    <mergeCell ref="B2277:B2281"/>
    <mergeCell ref="B2282:B2286"/>
    <mergeCell ref="B2287:B2291"/>
    <mergeCell ref="B2292:B2296"/>
    <mergeCell ref="B2297:B2301"/>
    <mergeCell ref="B2212:B2216"/>
    <mergeCell ref="B2167:B2171"/>
    <mergeCell ref="B2227:B2231"/>
    <mergeCell ref="B2262:B2266"/>
    <mergeCell ref="B2217:B2221"/>
    <mergeCell ref="B2222:B2226"/>
    <mergeCell ref="B2232:B2236"/>
    <mergeCell ref="B2237:B2241"/>
    <mergeCell ref="B2242:B2246"/>
    <mergeCell ref="B2247:B2251"/>
    <mergeCell ref="B2252:B2256"/>
    <mergeCell ref="B2257:B2261"/>
    <mergeCell ref="B2192:B2196"/>
    <mergeCell ref="B2197:B2201"/>
    <mergeCell ref="B2202:B2206"/>
    <mergeCell ref="B2207:B2211"/>
    <mergeCell ref="B2127:B2131"/>
    <mergeCell ref="B2132:B2136"/>
    <mergeCell ref="B2137:B2141"/>
    <mergeCell ref="B2142:B2146"/>
    <mergeCell ref="B2147:B2151"/>
    <mergeCell ref="B2152:B2156"/>
    <mergeCell ref="B2097:B2101"/>
    <mergeCell ref="B2102:B2106"/>
    <mergeCell ref="B2107:B2111"/>
    <mergeCell ref="B2112:B2116"/>
    <mergeCell ref="B2117:B2121"/>
    <mergeCell ref="B2122:B2126"/>
    <mergeCell ref="B2067:B2071"/>
    <mergeCell ref="B2072:B2076"/>
    <mergeCell ref="B2077:B2081"/>
    <mergeCell ref="B2082:B2086"/>
    <mergeCell ref="B2087:B2091"/>
    <mergeCell ref="B2092:B2096"/>
    <mergeCell ref="B2037:B2041"/>
    <mergeCell ref="B2042:B2046"/>
    <mergeCell ref="B2047:B2051"/>
    <mergeCell ref="B2052:B2056"/>
    <mergeCell ref="B2057:B2061"/>
    <mergeCell ref="B2062:B2066"/>
    <mergeCell ref="B2027:B2031"/>
    <mergeCell ref="B2032:B2036"/>
    <mergeCell ref="B1987:B1991"/>
    <mergeCell ref="B1992:B1996"/>
    <mergeCell ref="B1997:B2001"/>
    <mergeCell ref="B2002:B2006"/>
    <mergeCell ref="B2007:B2011"/>
    <mergeCell ref="B2012:B2016"/>
    <mergeCell ref="B2017:B2021"/>
    <mergeCell ref="B2022:B2026"/>
    <mergeCell ref="B1957:B1961"/>
    <mergeCell ref="B1962:B1966"/>
    <mergeCell ref="B1967:B1971"/>
    <mergeCell ref="B1972:B1976"/>
    <mergeCell ref="B1977:B1981"/>
    <mergeCell ref="B1982:B1986"/>
    <mergeCell ref="B1927:B1931"/>
    <mergeCell ref="B1932:B1936"/>
    <mergeCell ref="B1937:B1941"/>
    <mergeCell ref="B1942:B1946"/>
    <mergeCell ref="B1952:B1956"/>
    <mergeCell ref="B1947:B1951"/>
    <mergeCell ref="B1912:B1916"/>
    <mergeCell ref="B1917:B1921"/>
    <mergeCell ref="B1922:B1926"/>
    <mergeCell ref="B1867:B1871"/>
    <mergeCell ref="B1872:B1876"/>
    <mergeCell ref="B1877:B1881"/>
    <mergeCell ref="B1882:B1886"/>
    <mergeCell ref="B1887:B1891"/>
    <mergeCell ref="B1892:B1896"/>
    <mergeCell ref="B1897:B1901"/>
    <mergeCell ref="B1902:B1906"/>
    <mergeCell ref="B1907:B1911"/>
    <mergeCell ref="B1862:B1866"/>
    <mergeCell ref="B1782:B1786"/>
    <mergeCell ref="B1787:B1791"/>
    <mergeCell ref="B1792:B1796"/>
    <mergeCell ref="B1797:B1801"/>
    <mergeCell ref="B1802:B1806"/>
    <mergeCell ref="B1807:B1811"/>
    <mergeCell ref="B1762:B1766"/>
    <mergeCell ref="B1767:B1771"/>
    <mergeCell ref="B1772:B1776"/>
    <mergeCell ref="B1777:B1781"/>
    <mergeCell ref="B1837:B1841"/>
    <mergeCell ref="B1842:B1846"/>
    <mergeCell ref="B1847:B1851"/>
    <mergeCell ref="B1852:B1856"/>
    <mergeCell ref="B1857:B1861"/>
    <mergeCell ref="B1812:B1816"/>
    <mergeCell ref="B1817:B1821"/>
    <mergeCell ref="B1822:B1826"/>
    <mergeCell ref="B1827:B1831"/>
    <mergeCell ref="B1832:B1836"/>
    <mergeCell ref="B1732:B1736"/>
    <mergeCell ref="B1737:B1741"/>
    <mergeCell ref="B1742:B1746"/>
    <mergeCell ref="B1747:B1751"/>
    <mergeCell ref="B1752:B1756"/>
    <mergeCell ref="B1757:B1761"/>
    <mergeCell ref="B1712:B1716"/>
    <mergeCell ref="B1717:B1721"/>
    <mergeCell ref="B1722:B1726"/>
    <mergeCell ref="B1727:B1731"/>
    <mergeCell ref="B1687:B1691"/>
    <mergeCell ref="B1692:B1696"/>
    <mergeCell ref="B1697:B1701"/>
    <mergeCell ref="B1702:B1706"/>
    <mergeCell ref="B1707:B1711"/>
    <mergeCell ref="B1662:B1666"/>
    <mergeCell ref="B1667:B1671"/>
    <mergeCell ref="B1672:B1676"/>
    <mergeCell ref="B1677:B1681"/>
    <mergeCell ref="B1682:B1686"/>
    <mergeCell ref="B1632:B1636"/>
    <mergeCell ref="B1637:B1641"/>
    <mergeCell ref="B1642:B1646"/>
    <mergeCell ref="B1647:B1651"/>
    <mergeCell ref="B1652:B1656"/>
    <mergeCell ref="B1657:B1661"/>
    <mergeCell ref="B1587:B1591"/>
    <mergeCell ref="B1597:B1601"/>
    <mergeCell ref="B1602:B1606"/>
    <mergeCell ref="B1622:B1626"/>
    <mergeCell ref="B1627:B1631"/>
    <mergeCell ref="B1557:B1561"/>
    <mergeCell ref="B1562:B1566"/>
    <mergeCell ref="B1567:B1571"/>
    <mergeCell ref="B1572:B1576"/>
    <mergeCell ref="B1577:B1581"/>
    <mergeCell ref="B1582:B1586"/>
    <mergeCell ref="B1527:B1531"/>
    <mergeCell ref="B1532:B1536"/>
    <mergeCell ref="B1537:B1541"/>
    <mergeCell ref="B1542:B1546"/>
    <mergeCell ref="B1547:B1551"/>
    <mergeCell ref="B1552:B1556"/>
    <mergeCell ref="B1497:B1501"/>
    <mergeCell ref="B1502:B1506"/>
    <mergeCell ref="B1507:B1511"/>
    <mergeCell ref="B1512:B1516"/>
    <mergeCell ref="B1517:B1521"/>
    <mergeCell ref="B1522:B1526"/>
    <mergeCell ref="B1467:B1471"/>
    <mergeCell ref="B1472:B1476"/>
    <mergeCell ref="B1477:B1481"/>
    <mergeCell ref="B1482:B1486"/>
    <mergeCell ref="B1487:B1491"/>
    <mergeCell ref="B1492:B1496"/>
    <mergeCell ref="B1437:B1441"/>
    <mergeCell ref="B1442:B1446"/>
    <mergeCell ref="B1447:B1451"/>
    <mergeCell ref="B1452:B1456"/>
    <mergeCell ref="B1457:B1461"/>
    <mergeCell ref="B1462:B1466"/>
    <mergeCell ref="B1402:B1406"/>
    <mergeCell ref="B1407:B1411"/>
    <mergeCell ref="B1412:B1416"/>
    <mergeCell ref="B1417:B1421"/>
    <mergeCell ref="B1422:B1426"/>
    <mergeCell ref="B1427:B1431"/>
    <mergeCell ref="B1377:B1381"/>
    <mergeCell ref="B1382:B1386"/>
    <mergeCell ref="B1387:B1391"/>
    <mergeCell ref="B1392:B1396"/>
    <mergeCell ref="B1397:B1401"/>
    <mergeCell ref="B1342:B1346"/>
    <mergeCell ref="B1347:B1351"/>
    <mergeCell ref="B1352:B1356"/>
    <mergeCell ref="B1357:B1361"/>
    <mergeCell ref="B1362:B1366"/>
    <mergeCell ref="B1367:B1371"/>
    <mergeCell ref="B1332:B1336"/>
    <mergeCell ref="B1337:B1341"/>
    <mergeCell ref="B1287:B1291"/>
    <mergeCell ref="B1292:B1296"/>
    <mergeCell ref="B1297:B1301"/>
    <mergeCell ref="B1302:B1306"/>
    <mergeCell ref="B1307:B1311"/>
    <mergeCell ref="B1312:B1316"/>
    <mergeCell ref="B1372:B1376"/>
    <mergeCell ref="B1187:B1191"/>
    <mergeCell ref="B1192:B1196"/>
    <mergeCell ref="B1197:B1201"/>
    <mergeCell ref="B1202:B1206"/>
    <mergeCell ref="B1157:B1161"/>
    <mergeCell ref="B1162:B1166"/>
    <mergeCell ref="B1167:B1171"/>
    <mergeCell ref="B1172:B1176"/>
    <mergeCell ref="B1177:B1181"/>
    <mergeCell ref="B1182:B1186"/>
    <mergeCell ref="B1127:B1131"/>
    <mergeCell ref="B1132:B1136"/>
    <mergeCell ref="B1137:B1141"/>
    <mergeCell ref="B1142:B1146"/>
    <mergeCell ref="B1147:B1151"/>
    <mergeCell ref="B1152:B1156"/>
    <mergeCell ref="B1057:B1061"/>
    <mergeCell ref="B1062:B1066"/>
    <mergeCell ref="B1067:B1071"/>
    <mergeCell ref="B1072:B1076"/>
    <mergeCell ref="B1077:B1081"/>
    <mergeCell ref="B1082:B1086"/>
    <mergeCell ref="B1087:B1091"/>
    <mergeCell ref="B1092:B1096"/>
    <mergeCell ref="B1097:B1101"/>
    <mergeCell ref="B1102:B1106"/>
    <mergeCell ref="B1107:B1111"/>
    <mergeCell ref="B1112:B1116"/>
    <mergeCell ref="B1117:B1121"/>
    <mergeCell ref="B1122:B1126"/>
    <mergeCell ref="B1027:B1031"/>
    <mergeCell ref="B1032:B1036"/>
    <mergeCell ref="B1037:B1041"/>
    <mergeCell ref="B1042:B1046"/>
    <mergeCell ref="B1047:B1051"/>
    <mergeCell ref="B1052:B1056"/>
    <mergeCell ref="B997:B1001"/>
    <mergeCell ref="B1002:B1006"/>
    <mergeCell ref="B1007:B1011"/>
    <mergeCell ref="B1012:B1016"/>
    <mergeCell ref="B1017:B1021"/>
    <mergeCell ref="B1022:B1026"/>
    <mergeCell ref="B967:B971"/>
    <mergeCell ref="B972:B976"/>
    <mergeCell ref="B977:B981"/>
    <mergeCell ref="B982:B986"/>
    <mergeCell ref="B987:B991"/>
    <mergeCell ref="B992:B996"/>
    <mergeCell ref="B937:B941"/>
    <mergeCell ref="B942:B946"/>
    <mergeCell ref="B947:B951"/>
    <mergeCell ref="B952:B956"/>
    <mergeCell ref="B957:B961"/>
    <mergeCell ref="B962:B966"/>
    <mergeCell ref="B907:B911"/>
    <mergeCell ref="B912:B916"/>
    <mergeCell ref="B917:B921"/>
    <mergeCell ref="B922:B926"/>
    <mergeCell ref="B927:B931"/>
    <mergeCell ref="B932:B936"/>
    <mergeCell ref="B877:B881"/>
    <mergeCell ref="B882:B886"/>
    <mergeCell ref="B887:B891"/>
    <mergeCell ref="B892:B896"/>
    <mergeCell ref="B897:B901"/>
    <mergeCell ref="B902:B906"/>
    <mergeCell ref="B832:B836"/>
    <mergeCell ref="B852:B856"/>
    <mergeCell ref="B857:B861"/>
    <mergeCell ref="B862:B866"/>
    <mergeCell ref="B867:B871"/>
    <mergeCell ref="B872:B876"/>
    <mergeCell ref="B807:B811"/>
    <mergeCell ref="B812:B816"/>
    <mergeCell ref="B817:B821"/>
    <mergeCell ref="B822:B826"/>
    <mergeCell ref="B827:B831"/>
    <mergeCell ref="B837:B841"/>
    <mergeCell ref="B842:B846"/>
    <mergeCell ref="B847:B851"/>
    <mergeCell ref="B777:B781"/>
    <mergeCell ref="B782:B786"/>
    <mergeCell ref="B787:B791"/>
    <mergeCell ref="B792:B796"/>
    <mergeCell ref="B802:B806"/>
    <mergeCell ref="B757:B761"/>
    <mergeCell ref="B762:B766"/>
    <mergeCell ref="B767:B771"/>
    <mergeCell ref="B772:B776"/>
    <mergeCell ref="B797:B801"/>
    <mergeCell ref="B727:B731"/>
    <mergeCell ref="B732:B736"/>
    <mergeCell ref="B737:B741"/>
    <mergeCell ref="B742:B746"/>
    <mergeCell ref="B747:B751"/>
    <mergeCell ref="B752:B756"/>
    <mergeCell ref="B697:B701"/>
    <mergeCell ref="B702:B706"/>
    <mergeCell ref="B707:B711"/>
    <mergeCell ref="B712:B716"/>
    <mergeCell ref="B717:B721"/>
    <mergeCell ref="B722:B726"/>
    <mergeCell ref="B667:B671"/>
    <mergeCell ref="B672:B676"/>
    <mergeCell ref="B677:B681"/>
    <mergeCell ref="B682:B686"/>
    <mergeCell ref="B687:B691"/>
    <mergeCell ref="B692:B696"/>
    <mergeCell ref="B637:B641"/>
    <mergeCell ref="B642:B646"/>
    <mergeCell ref="B647:B651"/>
    <mergeCell ref="B652:B656"/>
    <mergeCell ref="B657:B661"/>
    <mergeCell ref="B662:B666"/>
    <mergeCell ref="B607:B611"/>
    <mergeCell ref="B612:B616"/>
    <mergeCell ref="B617:B621"/>
    <mergeCell ref="B622:B626"/>
    <mergeCell ref="B627:B631"/>
    <mergeCell ref="B632:B636"/>
    <mergeCell ref="B577:B581"/>
    <mergeCell ref="B582:B586"/>
    <mergeCell ref="B587:B591"/>
    <mergeCell ref="B592:B596"/>
    <mergeCell ref="B597:B601"/>
    <mergeCell ref="B602:B606"/>
    <mergeCell ref="B547:B551"/>
    <mergeCell ref="B552:B556"/>
    <mergeCell ref="B557:B561"/>
    <mergeCell ref="B562:B566"/>
    <mergeCell ref="B567:B571"/>
    <mergeCell ref="B572:B576"/>
    <mergeCell ref="B517:B521"/>
    <mergeCell ref="B522:B526"/>
    <mergeCell ref="B527:B531"/>
    <mergeCell ref="B532:B536"/>
    <mergeCell ref="B537:B541"/>
    <mergeCell ref="B542:B546"/>
    <mergeCell ref="B487:B491"/>
    <mergeCell ref="B492:B496"/>
    <mergeCell ref="B497:B501"/>
    <mergeCell ref="B502:B506"/>
    <mergeCell ref="B507:B511"/>
    <mergeCell ref="B512:B516"/>
    <mergeCell ref="B457:B461"/>
    <mergeCell ref="B462:B466"/>
    <mergeCell ref="B467:B471"/>
    <mergeCell ref="B472:B476"/>
    <mergeCell ref="B477:B481"/>
    <mergeCell ref="B482:B486"/>
    <mergeCell ref="B392:B396"/>
    <mergeCell ref="B427:B431"/>
    <mergeCell ref="B432:B436"/>
    <mergeCell ref="B437:B441"/>
    <mergeCell ref="B442:B446"/>
    <mergeCell ref="B447:B451"/>
    <mergeCell ref="B452:B456"/>
    <mergeCell ref="B397:B401"/>
    <mergeCell ref="B402:B406"/>
    <mergeCell ref="B407:B411"/>
    <mergeCell ref="B412:B416"/>
    <mergeCell ref="B417:B421"/>
    <mergeCell ref="B422:B426"/>
    <mergeCell ref="B352:B356"/>
    <mergeCell ref="B357:B361"/>
    <mergeCell ref="B377:B381"/>
    <mergeCell ref="B382:B386"/>
    <mergeCell ref="B387:B391"/>
    <mergeCell ref="B322:B326"/>
    <mergeCell ref="B327:B331"/>
    <mergeCell ref="B332:B336"/>
    <mergeCell ref="B342:B346"/>
    <mergeCell ref="B347:B351"/>
    <mergeCell ref="B337:B341"/>
    <mergeCell ref="B362:B366"/>
    <mergeCell ref="B367:B371"/>
    <mergeCell ref="B372:B376"/>
    <mergeCell ref="B292:B296"/>
    <mergeCell ref="B297:B301"/>
    <mergeCell ref="B307:B311"/>
    <mergeCell ref="B312:B316"/>
    <mergeCell ref="B317:B321"/>
    <mergeCell ref="B262:B266"/>
    <mergeCell ref="B267:B271"/>
    <mergeCell ref="B272:B276"/>
    <mergeCell ref="B277:B281"/>
    <mergeCell ref="B282:B286"/>
    <mergeCell ref="B287:B291"/>
    <mergeCell ref="B302:B306"/>
    <mergeCell ref="B232:B236"/>
    <mergeCell ref="B237:B241"/>
    <mergeCell ref="B242:B246"/>
    <mergeCell ref="B247:B251"/>
    <mergeCell ref="B252:B256"/>
    <mergeCell ref="B257:B261"/>
    <mergeCell ref="B192:B196"/>
    <mergeCell ref="B197:B201"/>
    <mergeCell ref="B222:B226"/>
    <mergeCell ref="B227:B231"/>
    <mergeCell ref="B202:B206"/>
    <mergeCell ref="B207:B211"/>
    <mergeCell ref="B212:B216"/>
    <mergeCell ref="B217:B221"/>
    <mergeCell ref="B12:B16"/>
    <mergeCell ref="B17:B21"/>
    <mergeCell ref="B22:B26"/>
    <mergeCell ref="B27:B31"/>
    <mergeCell ref="B32:B36"/>
    <mergeCell ref="B97:B101"/>
    <mergeCell ref="B102:B106"/>
    <mergeCell ref="B107:B111"/>
    <mergeCell ref="B112:B116"/>
    <mergeCell ref="B67:B71"/>
    <mergeCell ref="B72:B76"/>
    <mergeCell ref="B77:B81"/>
    <mergeCell ref="B82:B86"/>
    <mergeCell ref="B87:B91"/>
    <mergeCell ref="B92:B96"/>
    <mergeCell ref="B37:B41"/>
    <mergeCell ref="B42:B46"/>
    <mergeCell ref="B47:B51"/>
    <mergeCell ref="B52:B56"/>
    <mergeCell ref="B57:B61"/>
    <mergeCell ref="B62:B66"/>
    <mergeCell ref="B117:B121"/>
    <mergeCell ref="B122:B126"/>
    <mergeCell ref="B162:B166"/>
    <mergeCell ref="B167:B171"/>
    <mergeCell ref="B172:B176"/>
    <mergeCell ref="B177:B181"/>
    <mergeCell ref="B182:B186"/>
    <mergeCell ref="B187:B191"/>
    <mergeCell ref="B127:B131"/>
    <mergeCell ref="B137:B141"/>
    <mergeCell ref="B142:B146"/>
    <mergeCell ref="B147:B151"/>
    <mergeCell ref="B152:B156"/>
    <mergeCell ref="B157:B161"/>
    <mergeCell ref="B132:B136"/>
    <mergeCell ref="B1222:B1226"/>
    <mergeCell ref="B1207:B1211"/>
    <mergeCell ref="B1212:B1216"/>
    <mergeCell ref="B1217:B1221"/>
    <mergeCell ref="B1432:B1436"/>
    <mergeCell ref="B1592:B1596"/>
    <mergeCell ref="B1607:B1611"/>
    <mergeCell ref="B1612:B1616"/>
    <mergeCell ref="B1617:B1621"/>
    <mergeCell ref="B1257:B1261"/>
    <mergeCell ref="B1262:B1266"/>
    <mergeCell ref="B1267:B1271"/>
    <mergeCell ref="B1272:B1276"/>
    <mergeCell ref="B1277:B1281"/>
    <mergeCell ref="B1282:B1286"/>
    <mergeCell ref="B1227:B1231"/>
    <mergeCell ref="B1232:B1236"/>
    <mergeCell ref="B1237:B1241"/>
    <mergeCell ref="B1242:B1246"/>
    <mergeCell ref="B1247:B1251"/>
    <mergeCell ref="B1252:B1256"/>
    <mergeCell ref="B1317:B1321"/>
    <mergeCell ref="B1322:B1326"/>
    <mergeCell ref="B1327:B13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N3403"/>
  <sheetViews>
    <sheetView zoomScale="90" zoomScaleNormal="90" workbookViewId="0">
      <selection activeCell="E36" sqref="E36"/>
    </sheetView>
  </sheetViews>
  <sheetFormatPr defaultRowHeight="12.75"/>
  <cols>
    <col min="2" max="2" width="58.42578125" customWidth="1"/>
    <col min="3" max="3" width="13.5703125" bestFit="1" customWidth="1"/>
    <col min="4" max="4" width="22.140625" customWidth="1"/>
    <col min="5" max="5" width="29" customWidth="1"/>
    <col min="8" max="8" width="18.28515625" customWidth="1"/>
    <col min="9" max="9" width="20.28515625" customWidth="1"/>
    <col min="10" max="10" width="15.42578125" customWidth="1"/>
    <col min="11" max="11" width="18.85546875" customWidth="1"/>
    <col min="12" max="12" width="25" customWidth="1"/>
    <col min="13" max="13" width="21.7109375" customWidth="1"/>
    <col min="14" max="14" width="12.7109375" bestFit="1" customWidth="1"/>
    <col min="15" max="16" width="9.42578125" bestFit="1" customWidth="1"/>
    <col min="17" max="17" width="12.85546875" customWidth="1"/>
    <col min="18" max="18" width="13.5703125" customWidth="1"/>
    <col min="19" max="20" width="9.42578125" bestFit="1" customWidth="1"/>
    <col min="21" max="21" width="15.42578125" customWidth="1"/>
    <col min="22" max="22" width="14" customWidth="1"/>
    <col min="23" max="23" width="9.42578125" bestFit="1" customWidth="1"/>
    <col min="24" max="24" width="13.7109375" customWidth="1"/>
    <col min="25" max="25" width="15.140625" customWidth="1"/>
    <col min="26" max="26" width="9.42578125" bestFit="1" customWidth="1"/>
    <col min="27" max="27" width="15.140625" customWidth="1"/>
    <col min="28" max="31" width="9.42578125" bestFit="1" customWidth="1"/>
    <col min="32" max="32" width="15" customWidth="1"/>
    <col min="33" max="37" width="9.42578125" bestFit="1" customWidth="1"/>
    <col min="38" max="38" width="13.85546875" customWidth="1"/>
    <col min="39" max="39" width="20.7109375" customWidth="1"/>
    <col min="40" max="40" width="9.42578125" bestFit="1" customWidth="1"/>
    <col min="41" max="41" width="15.140625" customWidth="1"/>
    <col min="42" max="42" width="9.42578125" bestFit="1" customWidth="1"/>
    <col min="43" max="43" width="11.42578125" bestFit="1" customWidth="1"/>
    <col min="44" max="59" width="9.42578125" bestFit="1" customWidth="1"/>
    <col min="60" max="60" width="17" customWidth="1"/>
    <col min="65" max="65" width="14.28515625" customWidth="1"/>
  </cols>
  <sheetData>
    <row r="1" spans="1:66">
      <c r="F1" s="1"/>
      <c r="G1" s="116"/>
      <c r="H1" s="116"/>
      <c r="I1" s="600" t="s">
        <v>1247</v>
      </c>
      <c r="J1" s="600" t="s">
        <v>1261</v>
      </c>
      <c r="K1" s="600" t="s">
        <v>1251</v>
      </c>
      <c r="L1" s="116"/>
      <c r="M1" s="600" t="s">
        <v>1258</v>
      </c>
      <c r="N1" s="601" t="s">
        <v>1277</v>
      </c>
      <c r="O1" s="116"/>
      <c r="P1" s="116"/>
      <c r="Q1" s="600" t="s">
        <v>1255</v>
      </c>
      <c r="R1" s="600" t="s">
        <v>1259</v>
      </c>
      <c r="S1" s="116"/>
      <c r="T1" s="116"/>
      <c r="U1" s="600" t="s">
        <v>1256</v>
      </c>
      <c r="V1" s="600" t="s">
        <v>1249</v>
      </c>
      <c r="W1" s="116"/>
      <c r="X1" s="601" t="s">
        <v>1278</v>
      </c>
      <c r="Y1" s="600" t="s">
        <v>1250</v>
      </c>
      <c r="Z1" s="116"/>
      <c r="AA1" s="600" t="s">
        <v>1434</v>
      </c>
      <c r="AB1" s="116"/>
      <c r="AC1" s="116"/>
      <c r="AD1" s="116"/>
      <c r="AE1" s="116"/>
      <c r="AF1" s="600" t="s">
        <v>1248</v>
      </c>
      <c r="AG1" s="116"/>
      <c r="AH1" s="116"/>
      <c r="AI1" s="116"/>
      <c r="AJ1" s="114"/>
      <c r="AK1" s="114"/>
      <c r="AL1" s="600" t="s">
        <v>1260</v>
      </c>
      <c r="AM1" s="600" t="s">
        <v>1257</v>
      </c>
      <c r="AN1" s="114"/>
      <c r="AO1" s="600" t="s">
        <v>1253</v>
      </c>
      <c r="AP1" s="114"/>
      <c r="AQ1" s="601" t="s">
        <v>1276</v>
      </c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600" t="s">
        <v>1252</v>
      </c>
      <c r="BI1" s="114"/>
      <c r="BJ1" s="114"/>
      <c r="BK1" s="114"/>
      <c r="BL1" s="114"/>
      <c r="BM1" s="114"/>
      <c r="BN1" s="114"/>
    </row>
    <row r="2" spans="1:66">
      <c r="E2" s="181">
        <f>E3-E4</f>
        <v>-2016</v>
      </c>
      <c r="F2" s="1"/>
      <c r="G2" s="116"/>
      <c r="H2" s="116"/>
      <c r="I2" s="602">
        <v>1</v>
      </c>
      <c r="J2" s="602">
        <v>15</v>
      </c>
      <c r="K2" s="602">
        <v>5</v>
      </c>
      <c r="L2" s="116"/>
      <c r="M2" s="602">
        <v>12</v>
      </c>
      <c r="N2" s="603">
        <v>17</v>
      </c>
      <c r="O2" s="116"/>
      <c r="P2" s="116"/>
      <c r="Q2" s="602">
        <v>9</v>
      </c>
      <c r="R2" s="602">
        <v>13</v>
      </c>
      <c r="S2" s="116"/>
      <c r="T2" s="116"/>
      <c r="U2" s="602">
        <v>11</v>
      </c>
      <c r="V2" s="602">
        <v>3</v>
      </c>
      <c r="W2" s="116"/>
      <c r="X2" s="603">
        <v>18</v>
      </c>
      <c r="Y2" s="602">
        <v>4</v>
      </c>
      <c r="Z2" s="116"/>
      <c r="AA2" s="602">
        <v>8</v>
      </c>
      <c r="AB2" s="116"/>
      <c r="AC2" s="116"/>
      <c r="AD2" s="116"/>
      <c r="AE2" s="116"/>
      <c r="AF2" s="602">
        <v>2</v>
      </c>
      <c r="AG2" s="116"/>
      <c r="AH2" s="116"/>
      <c r="AI2" s="116"/>
      <c r="AJ2" s="114"/>
      <c r="AK2" s="114"/>
      <c r="AL2" s="602">
        <v>14</v>
      </c>
      <c r="AM2" s="602">
        <v>10</v>
      </c>
      <c r="AN2" s="114"/>
      <c r="AO2" s="602">
        <v>7</v>
      </c>
      <c r="AP2" s="114"/>
      <c r="AQ2" s="603">
        <v>16</v>
      </c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602">
        <v>6</v>
      </c>
      <c r="BI2" s="114"/>
      <c r="BJ2" s="114"/>
      <c r="BK2" s="114"/>
      <c r="BL2" s="114"/>
      <c r="BM2" s="114"/>
      <c r="BN2" s="114"/>
    </row>
    <row r="3" spans="1:66">
      <c r="E3" s="114">
        <f>'[2]всего лзинг'!H9</f>
        <v>0</v>
      </c>
      <c r="F3" s="604" t="s">
        <v>1446</v>
      </c>
      <c r="G3" s="605" t="s">
        <v>94</v>
      </c>
      <c r="H3" s="606" t="s">
        <v>95</v>
      </c>
      <c r="I3" s="607" t="s">
        <v>96</v>
      </c>
      <c r="J3" s="607" t="s">
        <v>97</v>
      </c>
      <c r="K3" s="607" t="s">
        <v>98</v>
      </c>
      <c r="L3" s="606" t="s">
        <v>99</v>
      </c>
      <c r="M3" s="607" t="s">
        <v>100</v>
      </c>
      <c r="N3" s="607" t="s">
        <v>101</v>
      </c>
      <c r="O3" s="606" t="s">
        <v>102</v>
      </c>
      <c r="P3" s="608" t="s">
        <v>103</v>
      </c>
      <c r="Q3" s="608" t="s">
        <v>104</v>
      </c>
      <c r="R3" s="608" t="s">
        <v>105</v>
      </c>
      <c r="S3" s="608" t="s">
        <v>106</v>
      </c>
      <c r="T3" s="608" t="s">
        <v>107</v>
      </c>
      <c r="U3" s="608" t="s">
        <v>108</v>
      </c>
      <c r="V3" s="608" t="s">
        <v>109</v>
      </c>
      <c r="W3" s="608" t="s">
        <v>110</v>
      </c>
      <c r="X3" s="608" t="s">
        <v>111</v>
      </c>
      <c r="Y3" s="608" t="s">
        <v>112</v>
      </c>
      <c r="Z3" s="608" t="s">
        <v>113</v>
      </c>
      <c r="AA3" s="608" t="s">
        <v>114</v>
      </c>
      <c r="AB3" s="605" t="s">
        <v>115</v>
      </c>
      <c r="AC3" s="609" t="s">
        <v>117</v>
      </c>
      <c r="AD3" s="606" t="s">
        <v>118</v>
      </c>
      <c r="AE3" s="607" t="s">
        <v>119</v>
      </c>
      <c r="AF3" s="605" t="s">
        <v>120</v>
      </c>
      <c r="AG3" s="606" t="s">
        <v>121</v>
      </c>
      <c r="AH3" s="610" t="s">
        <v>122</v>
      </c>
      <c r="AI3" s="606" t="s">
        <v>123</v>
      </c>
      <c r="AJ3" s="606" t="s">
        <v>124</v>
      </c>
      <c r="AK3" s="606" t="s">
        <v>125</v>
      </c>
      <c r="AL3" s="610" t="s">
        <v>126</v>
      </c>
      <c r="AM3" s="610" t="s">
        <v>127</v>
      </c>
      <c r="AN3" s="611" t="s">
        <v>128</v>
      </c>
      <c r="AO3" s="611" t="s">
        <v>129</v>
      </c>
      <c r="AP3" s="610" t="s">
        <v>130</v>
      </c>
      <c r="AQ3" s="610" t="s">
        <v>131</v>
      </c>
      <c r="AR3" s="605" t="s">
        <v>132</v>
      </c>
      <c r="AS3" s="606" t="s">
        <v>133</v>
      </c>
      <c r="AT3" s="606" t="s">
        <v>134</v>
      </c>
      <c r="AU3" s="605" t="s">
        <v>135</v>
      </c>
      <c r="AV3" s="606" t="s">
        <v>136</v>
      </c>
      <c r="AW3" s="606" t="s">
        <v>137</v>
      </c>
      <c r="AX3" s="607" t="s">
        <v>138</v>
      </c>
      <c r="AY3" s="605" t="s">
        <v>139</v>
      </c>
      <c r="AZ3" s="605" t="s">
        <v>140</v>
      </c>
      <c r="BA3" s="606" t="s">
        <v>141</v>
      </c>
      <c r="BB3" s="612" t="s">
        <v>142</v>
      </c>
      <c r="BC3" s="612" t="s">
        <v>143</v>
      </c>
      <c r="BD3" s="606" t="s">
        <v>144</v>
      </c>
      <c r="BE3" s="606" t="s">
        <v>145</v>
      </c>
      <c r="BF3" s="605" t="s">
        <v>146</v>
      </c>
      <c r="BG3" s="606" t="s">
        <v>147</v>
      </c>
      <c r="BH3" s="606" t="s">
        <v>148</v>
      </c>
      <c r="BI3" s="606" t="s">
        <v>149</v>
      </c>
      <c r="BJ3" s="605" t="s">
        <v>150</v>
      </c>
      <c r="BK3" s="613" t="s">
        <v>151</v>
      </c>
      <c r="BL3" s="613" t="s">
        <v>152</v>
      </c>
      <c r="BM3" s="1337" t="s">
        <v>46</v>
      </c>
      <c r="BN3" s="614"/>
    </row>
    <row r="4" spans="1:66" ht="122.25" customHeight="1">
      <c r="E4" s="433">
        <v>2016</v>
      </c>
      <c r="F4" s="615" t="s">
        <v>1445</v>
      </c>
      <c r="G4" s="616" t="s">
        <v>153</v>
      </c>
      <c r="H4" s="616" t="s">
        <v>154</v>
      </c>
      <c r="I4" s="617" t="s">
        <v>155</v>
      </c>
      <c r="J4" s="617" t="s">
        <v>156</v>
      </c>
      <c r="K4" s="617" t="s">
        <v>157</v>
      </c>
      <c r="L4" s="617" t="s">
        <v>158</v>
      </c>
      <c r="M4" s="617" t="s">
        <v>159</v>
      </c>
      <c r="N4" s="617" t="s">
        <v>160</v>
      </c>
      <c r="O4" s="617" t="s">
        <v>161</v>
      </c>
      <c r="P4" s="618" t="s">
        <v>162</v>
      </c>
      <c r="Q4" s="618" t="s">
        <v>163</v>
      </c>
      <c r="R4" s="618" t="s">
        <v>164</v>
      </c>
      <c r="S4" s="618" t="s">
        <v>165</v>
      </c>
      <c r="T4" s="618" t="s">
        <v>166</v>
      </c>
      <c r="U4" s="618" t="s">
        <v>167</v>
      </c>
      <c r="V4" s="618" t="s">
        <v>168</v>
      </c>
      <c r="W4" s="618" t="s">
        <v>169</v>
      </c>
      <c r="X4" s="618" t="s">
        <v>170</v>
      </c>
      <c r="Y4" s="618" t="s">
        <v>171</v>
      </c>
      <c r="Z4" s="618" t="s">
        <v>172</v>
      </c>
      <c r="AA4" s="618" t="s">
        <v>173</v>
      </c>
      <c r="AB4" s="619" t="s">
        <v>174</v>
      </c>
      <c r="AC4" s="620" t="s">
        <v>176</v>
      </c>
      <c r="AD4" s="616" t="s">
        <v>177</v>
      </c>
      <c r="AE4" s="620" t="s">
        <v>178</v>
      </c>
      <c r="AF4" s="619" t="s">
        <v>179</v>
      </c>
      <c r="AG4" s="616" t="s">
        <v>180</v>
      </c>
      <c r="AH4" s="616" t="s">
        <v>181</v>
      </c>
      <c r="AI4" s="616" t="s">
        <v>182</v>
      </c>
      <c r="AJ4" s="616" t="s">
        <v>183</v>
      </c>
      <c r="AK4" s="616" t="s">
        <v>184</v>
      </c>
      <c r="AL4" s="616" t="s">
        <v>185</v>
      </c>
      <c r="AM4" s="616" t="s">
        <v>186</v>
      </c>
      <c r="AN4" s="620" t="s">
        <v>187</v>
      </c>
      <c r="AO4" s="620" t="s">
        <v>188</v>
      </c>
      <c r="AP4" s="616" t="s">
        <v>189</v>
      </c>
      <c r="AQ4" s="616" t="s">
        <v>190</v>
      </c>
      <c r="AR4" s="621" t="s">
        <v>191</v>
      </c>
      <c r="AS4" s="616" t="s">
        <v>192</v>
      </c>
      <c r="AT4" s="616" t="s">
        <v>193</v>
      </c>
      <c r="AU4" s="621" t="s">
        <v>194</v>
      </c>
      <c r="AV4" s="616" t="s">
        <v>195</v>
      </c>
      <c r="AW4" s="616" t="s">
        <v>196</v>
      </c>
      <c r="AX4" s="620"/>
      <c r="AY4" s="621" t="s">
        <v>197</v>
      </c>
      <c r="AZ4" s="621" t="s">
        <v>198</v>
      </c>
      <c r="BA4" s="616" t="s">
        <v>199</v>
      </c>
      <c r="BB4" s="616" t="s">
        <v>200</v>
      </c>
      <c r="BC4" s="616" t="s">
        <v>28</v>
      </c>
      <c r="BD4" s="616" t="s">
        <v>201</v>
      </c>
      <c r="BE4" s="616" t="s">
        <v>202</v>
      </c>
      <c r="BF4" s="616" t="s">
        <v>203</v>
      </c>
      <c r="BG4" s="616" t="s">
        <v>204</v>
      </c>
      <c r="BH4" s="620" t="s">
        <v>205</v>
      </c>
      <c r="BI4" s="616" t="s">
        <v>206</v>
      </c>
      <c r="BJ4" s="621" t="s">
        <v>13</v>
      </c>
      <c r="BK4" s="621" t="s">
        <v>207</v>
      </c>
      <c r="BL4" s="622" t="s">
        <v>208</v>
      </c>
      <c r="BM4" s="1337"/>
      <c r="BN4" s="614"/>
    </row>
    <row r="5" spans="1:66" ht="17.25">
      <c r="B5" s="228"/>
      <c r="C5" s="59"/>
      <c r="E5" s="623">
        <f t="shared" ref="E5:E10" si="0">SUM(I5:BL5)</f>
        <v>182888870.09999999</v>
      </c>
      <c r="F5" s="624" t="s">
        <v>444</v>
      </c>
      <c r="G5" s="625"/>
      <c r="H5" s="625"/>
      <c r="I5" s="626">
        <f>SUMIFS($D$12:$D$3086,$C$12:$C$3086,"СМП",$A$12:$A$3086,"1")</f>
        <v>98191892.899999991</v>
      </c>
      <c r="J5" s="626">
        <f>SUMIFS($D$12:$D$3086,$C$12:$C$3086,"СМП",$A$12:$A$3086,"15")</f>
        <v>11930400.100000001</v>
      </c>
      <c r="K5" s="626">
        <f>SUMIFS(D12:D3086,C12:C3086,"СМП",$A$12:$A$3086,"5")</f>
        <v>1118750.2</v>
      </c>
      <c r="L5" s="625"/>
      <c r="M5" s="626">
        <f>SUMIFS($D$12:$D$3086,$C$12:$C$3086,"СМП",$A$12:$A$3086,"12")</f>
        <v>527850.5</v>
      </c>
      <c r="N5" s="626">
        <f>SUMIFS(D12:D3086,C12:C3086,"СМП",$A$12:$A$3086,"17")</f>
        <v>255263</v>
      </c>
      <c r="O5" s="625"/>
      <c r="P5" s="625"/>
      <c r="Q5" s="626">
        <f>SUMIFS(D12:D3086,C12:C3086,"СМП",$A$12:$A$3086,"9")</f>
        <v>1155714.2000000002</v>
      </c>
      <c r="R5" s="626">
        <f>SUMIFS(D12:D3086,C12:C3086,"СМП",$A$12:$A$3086,"13")</f>
        <v>1754163.5</v>
      </c>
      <c r="S5" s="625"/>
      <c r="T5" s="625"/>
      <c r="U5" s="626">
        <f>SUMIFS(D12:D3086,C12:C3086,"СМП",$A$12:$A$3086,"11")</f>
        <v>12527786.600000001</v>
      </c>
      <c r="V5" s="626">
        <f>SUMIFS(D12:D3086,C12:C3086,"СМП",$A$12:$A$3086,"3")</f>
        <v>2806074.1999999997</v>
      </c>
      <c r="W5" s="625"/>
      <c r="X5" s="626">
        <f>SUMIFS(D12:D3086,C12:C3086,"СМП",$A$12:$A$3086,"18")</f>
        <v>250151.6</v>
      </c>
      <c r="Y5" s="626">
        <f>SUMIFS(D12:D3086,C12:C3086,"СМП",$A$12:$A$3086,"4")</f>
        <v>36770447.300000004</v>
      </c>
      <c r="Z5" s="625"/>
      <c r="AA5" s="626">
        <f>SUMIFS(D12:D3086,C12:C3086,"СМП",$A$12:$A$3086,"8")</f>
        <v>4891041.5</v>
      </c>
      <c r="AB5" s="625"/>
      <c r="AC5" s="625"/>
      <c r="AD5" s="625"/>
      <c r="AE5" s="625"/>
      <c r="AF5" s="626">
        <f>SUMIFS(D12:D3086,C12:C3086,"СМП",$A$12:$A$3086,"2")</f>
        <v>7175331.9000000022</v>
      </c>
      <c r="AG5" s="625"/>
      <c r="AH5" s="625"/>
      <c r="AI5" s="625"/>
      <c r="AJ5" s="614"/>
      <c r="AK5" s="614"/>
      <c r="AL5" s="626">
        <f>SUMIFS(D12:D3086,C12:C3086,"СМП",$A$12:$A$3086,"14")</f>
        <v>75216.2</v>
      </c>
      <c r="AM5" s="626">
        <f>SUMIFS(D12:D3086,C12:C3086,"СМП",$A$12:$A$3086,"10")</f>
        <v>74517.5</v>
      </c>
      <c r="AN5" s="614"/>
      <c r="AO5" s="626">
        <f>SUMIFS(D12:D3086,C12:C3086,"СМП",$A$12:$A$3086,"7")</f>
        <v>280549.5</v>
      </c>
      <c r="AP5" s="614"/>
      <c r="AQ5" s="626">
        <f>SUMIFS(D12:D3086,C12:C3086,"СМП",$A$12:$A$3086,"16")</f>
        <v>0</v>
      </c>
      <c r="AR5" s="614"/>
      <c r="AS5" s="614"/>
      <c r="AT5" s="614"/>
      <c r="AU5" s="614"/>
      <c r="AV5" s="614"/>
      <c r="AW5" s="614"/>
      <c r="AX5" s="614"/>
      <c r="AY5" s="614"/>
      <c r="AZ5" s="614"/>
      <c r="BA5" s="614"/>
      <c r="BB5" s="614"/>
      <c r="BC5" s="614"/>
      <c r="BD5" s="614"/>
      <c r="BE5" s="614"/>
      <c r="BF5" s="614"/>
      <c r="BG5" s="614"/>
      <c r="BH5" s="626">
        <f>SUMIFS(D12:D3086,C12:C3086,"СМП",$A$12:$A$3086,"6")</f>
        <v>3103719.4000000004</v>
      </c>
      <c r="BI5" s="614"/>
      <c r="BJ5" s="614"/>
      <c r="BK5" s="614"/>
      <c r="BL5" s="614"/>
      <c r="BM5" s="614">
        <f>SUM(I5:BL5)</f>
        <v>182888870.09999999</v>
      </c>
      <c r="BN5" s="627" t="s">
        <v>444</v>
      </c>
    </row>
    <row r="6" spans="1:66" ht="17.25">
      <c r="B6" s="228"/>
      <c r="E6" s="623">
        <f t="shared" si="0"/>
        <v>68960815.900000006</v>
      </c>
      <c r="F6" s="624" t="s">
        <v>445</v>
      </c>
      <c r="G6" s="625"/>
      <c r="H6" s="625"/>
      <c r="I6" s="626">
        <f>SUMIFS($D$12:$D$3086,$C$12:$C$3086,"ВСМП",$A$12:$A$3086,"1")</f>
        <v>25812932.199999999</v>
      </c>
      <c r="J6" s="626">
        <f>SUMIFS($D$12:$D$3086,$C$12:$C$3086,"ВСМП",$A$12:$A$3086,"15")</f>
        <v>15096672.200000001</v>
      </c>
      <c r="K6" s="626">
        <f>SUMIFS($D$12:$D$3086,$C$12:$C$3086,"ВСМП",$A$12:$A$3086,"5")</f>
        <v>0</v>
      </c>
      <c r="L6" s="625"/>
      <c r="M6" s="626">
        <f>SUMIFS($D$12:$D$3086,$C$12:$C$3086,"ВСМП",$A$12:$A$3086,"12")</f>
        <v>0</v>
      </c>
      <c r="N6" s="626">
        <f>SUMIFS(D12:D3086,C12:C3086,"ВСМП",$A$12:$A$3086,"17")</f>
        <v>0</v>
      </c>
      <c r="O6" s="625"/>
      <c r="P6" s="625"/>
      <c r="Q6" s="626">
        <f>SUMIFS(D12:D3086,C12:C3086,"ВСМП",$A$12:$A$3086,"9")</f>
        <v>436624.5</v>
      </c>
      <c r="R6" s="626">
        <f>SUMIFS(D12:D3086,C12:C3086,"ВСМП",$A$12:$A$3086,"13")</f>
        <v>0</v>
      </c>
      <c r="S6" s="625"/>
      <c r="T6" s="625"/>
      <c r="U6" s="626">
        <f>SUMIFS(D12:D3086,C12:C3086,"ВСМП",$A$12:$A$3086,"11")</f>
        <v>14542337.5</v>
      </c>
      <c r="V6" s="626">
        <f>SUMIFS(D12:D3086,C12:C3086,"ВСМП",$A$12:$A$3086,"3")</f>
        <v>26439.200000000001</v>
      </c>
      <c r="W6" s="625"/>
      <c r="X6" s="626">
        <f>SUMIFS(D12:D3086,C12:C3086,"ВСМП",$A$12:$A$3086,"18")</f>
        <v>0</v>
      </c>
      <c r="Y6" s="626">
        <f>SUMIFS(D12:D3086,C12:C3086,"ВСМП",$A$12:$A$3086,"4")</f>
        <v>2989567</v>
      </c>
      <c r="Z6" s="625"/>
      <c r="AA6" s="626">
        <f>SUMIFS(D12:D3086,C12:C3086,"ВСМП",$A$12:$A$3086,"8")</f>
        <v>6668267.8000000007</v>
      </c>
      <c r="AB6" s="625"/>
      <c r="AC6" s="625"/>
      <c r="AD6" s="625"/>
      <c r="AE6" s="625"/>
      <c r="AF6" s="626">
        <f>SUMIFS(D12:D3086,C12:C3086,"ВСМП",$A$12:$A$3086,"2")</f>
        <v>1882606</v>
      </c>
      <c r="AG6" s="625"/>
      <c r="AH6" s="625"/>
      <c r="AI6" s="625"/>
      <c r="AJ6" s="614"/>
      <c r="AK6" s="614"/>
      <c r="AL6" s="626">
        <f>SUMIFS(D12:D3086,C12:C3086,"ВСМП",$A$12:$A$3086,"14")</f>
        <v>22996.5</v>
      </c>
      <c r="AM6" s="626">
        <f>SUMIFS(D12:D3086,C12:C3086,"ВСМП",$A$12:$A$3086,"10")</f>
        <v>117462.1</v>
      </c>
      <c r="AN6" s="614"/>
      <c r="AO6" s="626">
        <f>SUMIFS(D12:D3086,C12:C3086,"ВСМП",$A$12:$A$3086,"7")</f>
        <v>22804.9</v>
      </c>
      <c r="AP6" s="614"/>
      <c r="AQ6" s="626">
        <f>SUMIFS(D12:D3086,C12:C3086,"ВСМП",$A$12:$A$3086,"16")</f>
        <v>0</v>
      </c>
      <c r="AR6" s="614"/>
      <c r="AS6" s="614"/>
      <c r="AT6" s="614"/>
      <c r="AU6" s="614"/>
      <c r="AV6" s="614"/>
      <c r="AW6" s="614"/>
      <c r="AX6" s="614"/>
      <c r="AY6" s="614"/>
      <c r="AZ6" s="614"/>
      <c r="BA6" s="614"/>
      <c r="BB6" s="614"/>
      <c r="BC6" s="614"/>
      <c r="BD6" s="614"/>
      <c r="BE6" s="614"/>
      <c r="BF6" s="614"/>
      <c r="BG6" s="614"/>
      <c r="BH6" s="626">
        <f>SUMIFS(D12:D3086,C12:C3086,"ВСМП",$A$12:$A$3086,"6")</f>
        <v>1342106</v>
      </c>
      <c r="BI6" s="614"/>
      <c r="BJ6" s="614"/>
      <c r="BK6" s="614"/>
      <c r="BL6" s="614"/>
      <c r="BM6" s="614">
        <f>SUM(I6:BL6)</f>
        <v>68960815.900000006</v>
      </c>
      <c r="BN6" s="627" t="s">
        <v>445</v>
      </c>
    </row>
    <row r="7" spans="1:66" ht="17.25">
      <c r="E7" s="623">
        <f t="shared" si="0"/>
        <v>32947359.399999995</v>
      </c>
      <c r="F7" s="624" t="s">
        <v>446</v>
      </c>
      <c r="G7" s="625"/>
      <c r="H7" s="625"/>
      <c r="I7" s="626">
        <f>SUMIFS($D$12:$D$3086,$C$12:$C$3086,"СЗП",$A$12:$A$3086,"1")</f>
        <v>9316209.7999999989</v>
      </c>
      <c r="J7" s="626">
        <f>SUMIFS(D12:D3086,C12:C3086,"СЗП",$A$12:$A$3086,"15")</f>
        <v>348111.5</v>
      </c>
      <c r="K7" s="626">
        <f>SUMIFS($D$12:$D$3086,$C$12:$C$3086,"СЗП",$A$12:$A$3086,"5")</f>
        <v>1286079.5000000002</v>
      </c>
      <c r="L7" s="625"/>
      <c r="M7" s="626">
        <f>SUMIFS($D$12:$D$3086,$C$12:$C$3086,"СЗП",$A$12:$A$3086,"12")</f>
        <v>0</v>
      </c>
      <c r="N7" s="626">
        <f>SUMIFS(D12:D3086,C12:C3086,"СЗП",$A$12:$A$3086,"17")</f>
        <v>0</v>
      </c>
      <c r="O7" s="625"/>
      <c r="P7" s="625"/>
      <c r="Q7" s="626">
        <f>SUMIFS(D12:D3086,C12:C3086,"СЗП",$A$12:$A$3086,"9")</f>
        <v>476355.99999999994</v>
      </c>
      <c r="R7" s="626">
        <f>SUMIFS(D12:D3086,C12:C3086,"СЗП",$A$12:$A$3086,"13")</f>
        <v>0</v>
      </c>
      <c r="S7" s="625"/>
      <c r="T7" s="625"/>
      <c r="U7" s="626">
        <f>SUMIFS(D12:D3086,C12:C3086,"СЗП",$A$12:$A$3086,"11")</f>
        <v>137063.70000000001</v>
      </c>
      <c r="V7" s="626">
        <f>SUMIFS(D12:D3086,C12:C3086,"СЗП",$A$12:$A$3086,"3")</f>
        <v>317507.59999999998</v>
      </c>
      <c r="W7" s="625"/>
      <c r="X7" s="626">
        <f>SUMIFS(D12:D3086,C12:C3086,"СЗП",$A$12:$A$3086,"18")</f>
        <v>62027</v>
      </c>
      <c r="Y7" s="626">
        <f>SUMIFS(D12:D3086,C12:C3086,"СЗП",$A$12:$A$3086,"4")</f>
        <v>1953064.0000000002</v>
      </c>
      <c r="Z7" s="625"/>
      <c r="AA7" s="626">
        <f>SUMIFS(D12:D3086,C12:C3086,"СЗП",$A$12:$A$3086,"8")</f>
        <v>1310339.1000000001</v>
      </c>
      <c r="AB7" s="625"/>
      <c r="AC7" s="625"/>
      <c r="AD7" s="625"/>
      <c r="AE7" s="625"/>
      <c r="AF7" s="626">
        <f>SUMIFS(D12:D3086,C12:C3086,"СЗП",$A$12:$A$3086,"2")</f>
        <v>15937884.299999995</v>
      </c>
      <c r="AG7" s="625"/>
      <c r="AH7" s="625"/>
      <c r="AI7" s="625"/>
      <c r="AJ7" s="614"/>
      <c r="AK7" s="614"/>
      <c r="AL7" s="626">
        <f>SUMIFS(D12:D3086,C12:C3086,"СЗП",$A$12:$A$3086,"14")</f>
        <v>54520.7</v>
      </c>
      <c r="AM7" s="626">
        <f>SUMIFS(D12:D3086,C12:C3086,"СЗП",$A$12:$A$3086,"10")</f>
        <v>1487769.5999999999</v>
      </c>
      <c r="AN7" s="614"/>
      <c r="AO7" s="626">
        <f>SUMIFS(D12:D3086,C12:C3086,"СЗП",$A$12:$A$3086,"7")</f>
        <v>192156.6</v>
      </c>
      <c r="AP7" s="614"/>
      <c r="AQ7" s="626">
        <f>SUMIFS(D12:D3086,C12:C3086,"СЗП",$A$12:$A$3086,"16")</f>
        <v>4721.2</v>
      </c>
      <c r="AR7" s="614"/>
      <c r="AS7" s="614"/>
      <c r="AT7" s="614"/>
      <c r="AU7" s="614"/>
      <c r="AV7" s="614"/>
      <c r="AW7" s="614"/>
      <c r="AX7" s="614"/>
      <c r="AY7" s="614"/>
      <c r="AZ7" s="614"/>
      <c r="BA7" s="614"/>
      <c r="BB7" s="614"/>
      <c r="BC7" s="614"/>
      <c r="BD7" s="614"/>
      <c r="BE7" s="614"/>
      <c r="BF7" s="614"/>
      <c r="BG7" s="614"/>
      <c r="BH7" s="626">
        <f>SUMIFS(D12:D3086,C12:C3086,"СЗП",$A$12:$A$3086,"6")</f>
        <v>63548.800000000003</v>
      </c>
      <c r="BI7" s="614"/>
      <c r="BJ7" s="614"/>
      <c r="BK7" s="614"/>
      <c r="BL7" s="614"/>
      <c r="BM7" s="614">
        <f>SUM(I7:BL7)</f>
        <v>32947359.399999995</v>
      </c>
      <c r="BN7" s="627" t="s">
        <v>446</v>
      </c>
    </row>
    <row r="8" spans="1:66" ht="17.25">
      <c r="B8" s="434" t="s">
        <v>2109</v>
      </c>
      <c r="E8" s="623">
        <f t="shared" si="0"/>
        <v>1714071.9000000001</v>
      </c>
      <c r="F8" s="624" t="s">
        <v>1253</v>
      </c>
      <c r="G8" s="628"/>
      <c r="H8" s="628"/>
      <c r="I8" s="629">
        <f>SUMIFS($D$12:$D$3086,$C$12:$C$3086,"КДУ",$A$12:$A$3086,"1")</f>
        <v>582711.80000000005</v>
      </c>
      <c r="J8" s="629">
        <f>SUMIFS(D12:D3086,C12:C3086,"КДУ",$A$12:$A$3086,"15")</f>
        <v>1131102.1000000001</v>
      </c>
      <c r="K8" s="626">
        <f>SUMIFS($D$12:$D$3086,$C$12:$C$3086,"КДУ",$A$12:$A$3086,"5")</f>
        <v>0</v>
      </c>
      <c r="L8" s="628"/>
      <c r="M8" s="626">
        <f>SUMIFS($D$12:$D$3086,$C$12:$C$3086,"КДУ",$A$12:$A$3086,"12")</f>
        <v>0</v>
      </c>
      <c r="N8" s="626">
        <f>SUMIFS(D12:D3086,C12:C3086,"КДУ",$A$12:$A$3086,"17")</f>
        <v>0</v>
      </c>
      <c r="O8" s="628"/>
      <c r="P8" s="628"/>
      <c r="Q8" s="626">
        <f>SUMIFS(D12:D3086,C12:C3086,"КДУ",$A$12:$A$3086,"9")</f>
        <v>0</v>
      </c>
      <c r="R8" s="626">
        <f>SUMIFS(D12:D3086,C12:C3086,"КДУ",$A$12:$A$3086,"13")</f>
        <v>0</v>
      </c>
      <c r="S8" s="628"/>
      <c r="T8" s="628"/>
      <c r="U8" s="626">
        <f>SUMIFS(D12:D3086,C12:C3086,"КДУ",$A$12:$A$3086,"11")</f>
        <v>0</v>
      </c>
      <c r="V8" s="626">
        <f>SUMIFS(D12:D3086,C12:C3086,"КДУ",$A$12:$A$3086,"3")</f>
        <v>0</v>
      </c>
      <c r="W8" s="628"/>
      <c r="X8" s="626">
        <f>SUMIFS(D12:D3086,C12:C3086,"КДУ",$A$12:$A$3086,"18")</f>
        <v>0</v>
      </c>
      <c r="Y8" s="626">
        <f>SUMIFS(D12:D3086,C12:C3086,"КДУ",$A$12:$A$3086,"4")</f>
        <v>0</v>
      </c>
      <c r="Z8" s="628"/>
      <c r="AA8" s="626">
        <f>SUMIFS(D12:D3086,C12:C3086,"КДУ",$A$12:$A$3086,"8")</f>
        <v>0</v>
      </c>
      <c r="AB8" s="628"/>
      <c r="AC8" s="628"/>
      <c r="AD8" s="628"/>
      <c r="AE8" s="628"/>
      <c r="AF8" s="626">
        <f>SUMIFS(D12:D3086,C12:C3086,"КДУ",$A$12:$A$3086,"2")</f>
        <v>258</v>
      </c>
      <c r="AG8" s="628"/>
      <c r="AH8" s="628"/>
      <c r="AI8" s="628"/>
      <c r="AJ8" s="630"/>
      <c r="AK8" s="630"/>
      <c r="AL8" s="626">
        <f>SUMIFS(D12:D3086,C12:C3086,"КДУ",$A$12:$A$3086,"14")</f>
        <v>0</v>
      </c>
      <c r="AM8" s="626">
        <f>SUMIFS(D12:D3086,C12:C3086,"КДУ",$A$12:$A$3086,"10")</f>
        <v>0</v>
      </c>
      <c r="AN8" s="630"/>
      <c r="AO8" s="626">
        <f>SUMIFS(D12:D3086,C12:C3086,"КДУ",$A$12:$A$3086,"7")</f>
        <v>0</v>
      </c>
      <c r="AP8" s="630"/>
      <c r="AQ8" s="626">
        <f>SUMIFS(D12:D3086,C12:C3086,"КДУ",$A$12:$A$3086,"16")</f>
        <v>0</v>
      </c>
      <c r="AR8" s="630"/>
      <c r="AS8" s="630"/>
      <c r="AT8" s="630"/>
      <c r="AU8" s="630"/>
      <c r="AV8" s="630"/>
      <c r="AW8" s="630"/>
      <c r="AX8" s="630"/>
      <c r="AY8" s="630"/>
      <c r="AZ8" s="630"/>
      <c r="BA8" s="630"/>
      <c r="BB8" s="630"/>
      <c r="BC8" s="630"/>
      <c r="BD8" s="630"/>
      <c r="BE8" s="630"/>
      <c r="BF8" s="630"/>
      <c r="BG8" s="630"/>
      <c r="BH8" s="626">
        <f>SUMIFS(D12:D3086,C12:C3086,"КДУ",$A$12:$A$3086,"6")</f>
        <v>0</v>
      </c>
      <c r="BI8" s="630"/>
      <c r="BJ8" s="630"/>
      <c r="BK8" s="630"/>
      <c r="BL8" s="630"/>
      <c r="BM8" s="628">
        <f>SUM(I8:BL8)</f>
        <v>1714071.9000000001</v>
      </c>
      <c r="BN8" s="630"/>
    </row>
    <row r="9" spans="1:66" ht="17.25">
      <c r="E9" s="623">
        <f t="shared" si="0"/>
        <v>1672112.0999999999</v>
      </c>
      <c r="F9" s="624" t="s">
        <v>421</v>
      </c>
      <c r="G9" s="628"/>
      <c r="H9" s="628"/>
      <c r="I9" s="629">
        <f>SUMIFS($D$12:$D$3086,$C$12:$C$3086,"лизинг",$A$12:$A$3086,"1")</f>
        <v>1102085.8</v>
      </c>
      <c r="J9" s="629">
        <f>SUMIFS(D12:D3086,C12:C3086,"лизинг",$A$12:$A$3086,"15")</f>
        <v>63748.4</v>
      </c>
      <c r="K9" s="626">
        <f>SUMIFS($D$12:$D$3086,$C$12:$C$3086,"лизинг",$A$12:$A$3086,"5")</f>
        <v>0</v>
      </c>
      <c r="L9" s="628"/>
      <c r="M9" s="626">
        <f>SUMIFS($D$12:$D$3086,$C$12:$C$3086,"лизинг",$A$12:$A$3086,"12")</f>
        <v>0</v>
      </c>
      <c r="N9" s="626">
        <f>SUMIFS(D12:D3086,C12:C3086,"лизинг",$A$12:$A$3086,"17")</f>
        <v>0</v>
      </c>
      <c r="O9" s="628"/>
      <c r="P9" s="628"/>
      <c r="Q9" s="626">
        <f>SUMIFS(D12:D3086,C12:C3086,"лизинг",$A$12:$A$3086,"9")</f>
        <v>17213</v>
      </c>
      <c r="R9" s="626">
        <f>SUMIFS(D12:D3086,C12:C3086,"лизинг",$A$12:$A$3086,"13")</f>
        <v>0</v>
      </c>
      <c r="S9" s="628"/>
      <c r="T9" s="628"/>
      <c r="U9" s="626">
        <f>SUMIFS(D12:D3086,C12:C3086,"лизинг",$A$12:$A$3086,"11")</f>
        <v>57133.2</v>
      </c>
      <c r="V9" s="626">
        <f>SUMIFS(D12:D3086,C12:C3086,"лизинг",$A$12:$A$3086,"3")</f>
        <v>0</v>
      </c>
      <c r="W9" s="628"/>
      <c r="X9" s="626">
        <f>SUMIFS(D12:D3086,C12:C3086,"лизинг",$A$12:$A$3086,"18")</f>
        <v>0</v>
      </c>
      <c r="Y9" s="626">
        <f>SUMIFS(D12:D3086,C12:C3086,"лизинг",$A$12:$A$3086,"4")</f>
        <v>302290.40000000002</v>
      </c>
      <c r="Z9" s="628"/>
      <c r="AA9" s="626">
        <f>SUMIFS(D12:D3086,C12:C3086,"лизинг",$A$12:$A$3086,"8")</f>
        <v>51638.3</v>
      </c>
      <c r="AB9" s="628"/>
      <c r="AC9" s="628"/>
      <c r="AD9" s="628"/>
      <c r="AE9" s="628"/>
      <c r="AF9" s="626">
        <f>SUMIFS(D12:D3086,C12:C3086,"лизинг",$A$12:$A$3086,"2")</f>
        <v>68039.700000000012</v>
      </c>
      <c r="AG9" s="628"/>
      <c r="AH9" s="628"/>
      <c r="AI9" s="628"/>
      <c r="AJ9" s="630"/>
      <c r="AK9" s="630"/>
      <c r="AL9" s="626">
        <f>SUMIFS(D12:D3086,C12:C3086,"лизинг",$A$12:$A$3086,"14")</f>
        <v>9963.2999999999993</v>
      </c>
      <c r="AM9" s="626">
        <f>SUMIFS(D12:D3086,C12:C3086,"лизинг",$A$12:$A$3086,"10")</f>
        <v>0</v>
      </c>
      <c r="AN9" s="630"/>
      <c r="AO9" s="626">
        <f>SUMIFS(D12:D3086,C12:C3086,"лизинг",$A$12:$A$3086,"7")</f>
        <v>0</v>
      </c>
      <c r="AP9" s="630"/>
      <c r="AQ9" s="626">
        <f>SUMIFS(D12:D3086,C12:C3086,"лизинг",$A$12:$A$3086,"16")</f>
        <v>0</v>
      </c>
      <c r="AR9" s="630"/>
      <c r="AS9" s="630"/>
      <c r="AT9" s="630"/>
      <c r="AU9" s="630"/>
      <c r="AV9" s="630"/>
      <c r="AW9" s="630"/>
      <c r="AX9" s="630"/>
      <c r="AY9" s="630"/>
      <c r="AZ9" s="630"/>
      <c r="BA9" s="630"/>
      <c r="BB9" s="630"/>
      <c r="BC9" s="630"/>
      <c r="BD9" s="630"/>
      <c r="BE9" s="630"/>
      <c r="BF9" s="630"/>
      <c r="BG9" s="630"/>
      <c r="BH9" s="626">
        <f>SUMIFS(D12:D3086,C12:C3086,"лизинг",$A$12:$A$3086,"6")</f>
        <v>0</v>
      </c>
      <c r="BI9" s="630"/>
      <c r="BJ9" s="630"/>
      <c r="BK9" s="630"/>
      <c r="BL9" s="630"/>
      <c r="BM9" s="628">
        <f>SUM(I9:BL9)</f>
        <v>1672112.0999999999</v>
      </c>
      <c r="BN9" s="630"/>
    </row>
    <row r="10" spans="1:66" ht="17.25">
      <c r="E10" s="631">
        <f t="shared" si="0"/>
        <v>288183229.39999992</v>
      </c>
      <c r="F10" s="632" t="s">
        <v>46</v>
      </c>
      <c r="G10" s="633"/>
      <c r="H10" s="633"/>
      <c r="I10" s="626">
        <f>SUM(I5:I9)</f>
        <v>135005832.5</v>
      </c>
      <c r="J10" s="626">
        <f>SUM(J5:J9)</f>
        <v>28570034.300000004</v>
      </c>
      <c r="K10" s="626">
        <f>SUM(K5:K9)</f>
        <v>2404829.7000000002</v>
      </c>
      <c r="L10" s="626"/>
      <c r="M10" s="626">
        <f>SUM(M5:M9)</f>
        <v>527850.5</v>
      </c>
      <c r="N10" s="626">
        <f>SUM(N5:N9)</f>
        <v>255263</v>
      </c>
      <c r="O10" s="626"/>
      <c r="P10" s="626"/>
      <c r="Q10" s="626">
        <f>SUM(Q5:Q9)</f>
        <v>2085907.7000000002</v>
      </c>
      <c r="R10" s="626">
        <f>SUM(R5:R9)</f>
        <v>1754163.5</v>
      </c>
      <c r="S10" s="626"/>
      <c r="T10" s="626"/>
      <c r="U10" s="626">
        <f>SUM(U5:U9)</f>
        <v>27264321</v>
      </c>
      <c r="V10" s="626">
        <f>SUM(V5:V9)</f>
        <v>3150021</v>
      </c>
      <c r="W10" s="626"/>
      <c r="X10" s="626">
        <f>SUM(X5:X9)</f>
        <v>312178.59999999998</v>
      </c>
      <c r="Y10" s="626">
        <f>SUM(Y5:Y9)</f>
        <v>42015368.700000003</v>
      </c>
      <c r="Z10" s="626"/>
      <c r="AA10" s="626">
        <f>SUM(AA5:AA9)</f>
        <v>12921286.700000001</v>
      </c>
      <c r="AB10" s="626"/>
      <c r="AC10" s="626"/>
      <c r="AD10" s="626"/>
      <c r="AE10" s="626"/>
      <c r="AF10" s="626">
        <f>SUM(AF5:AF9)</f>
        <v>25064119.899999995</v>
      </c>
      <c r="AG10" s="626"/>
      <c r="AH10" s="626"/>
      <c r="AI10" s="626"/>
      <c r="AJ10" s="626"/>
      <c r="AK10" s="626"/>
      <c r="AL10" s="626">
        <f>SUM(AL5:AL9)</f>
        <v>162696.69999999998</v>
      </c>
      <c r="AM10" s="626">
        <f>SUM(AM5:AM9)</f>
        <v>1679749.2</v>
      </c>
      <c r="AN10" s="626"/>
      <c r="AO10" s="626">
        <f>SUM(AO5:AO9)</f>
        <v>495511</v>
      </c>
      <c r="AP10" s="626"/>
      <c r="AQ10" s="626">
        <f>SUM(AQ5:AQ9)</f>
        <v>4721.2</v>
      </c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6"/>
      <c r="BG10" s="626"/>
      <c r="BH10" s="626">
        <f>SUM(BH5:BH9)</f>
        <v>4509374.2</v>
      </c>
      <c r="BI10" s="626"/>
      <c r="BJ10" s="626"/>
      <c r="BK10" s="626"/>
      <c r="BL10" s="626"/>
      <c r="BM10" s="626">
        <f>SUM(BM5:BM9)</f>
        <v>288183229.39999998</v>
      </c>
      <c r="BN10" s="626"/>
    </row>
    <row r="11" spans="1:66" ht="14.25" customHeight="1">
      <c r="E11" s="623"/>
      <c r="F11" s="623"/>
    </row>
    <row r="12" spans="1:66" ht="23.25" customHeight="1">
      <c r="A12">
        <v>1</v>
      </c>
      <c r="B12" s="1323" t="s">
        <v>722</v>
      </c>
      <c r="C12" t="s">
        <v>444</v>
      </c>
      <c r="D12" s="223">
        <v>894463.5</v>
      </c>
    </row>
    <row r="13" spans="1:66" ht="25.5" customHeight="1">
      <c r="A13">
        <v>1</v>
      </c>
      <c r="B13" s="1324"/>
      <c r="C13" t="s">
        <v>445</v>
      </c>
      <c r="D13" s="223">
        <v>2522</v>
      </c>
      <c r="H13" s="634" t="s">
        <v>2110</v>
      </c>
      <c r="I13" s="635">
        <v>1</v>
      </c>
    </row>
    <row r="14" spans="1:66">
      <c r="A14">
        <v>1</v>
      </c>
      <c r="B14" s="1324"/>
      <c r="C14" t="s">
        <v>446</v>
      </c>
      <c r="D14" s="636">
        <v>0</v>
      </c>
      <c r="H14" s="634" t="s">
        <v>1248</v>
      </c>
      <c r="I14" s="635">
        <v>2</v>
      </c>
      <c r="K14" s="634"/>
      <c r="L14" s="634"/>
      <c r="M14" s="634"/>
    </row>
    <row r="15" spans="1:66" ht="27" customHeight="1">
      <c r="A15">
        <v>1</v>
      </c>
      <c r="B15" s="1324"/>
      <c r="C15" t="s">
        <v>1253</v>
      </c>
      <c r="D15" s="637">
        <v>0</v>
      </c>
      <c r="E15" s="638"/>
      <c r="H15" s="634"/>
      <c r="I15" s="635"/>
      <c r="K15" s="639">
        <v>52</v>
      </c>
      <c r="L15" s="640" t="s">
        <v>2111</v>
      </c>
      <c r="M15" s="641">
        <v>297303777.78820002</v>
      </c>
    </row>
    <row r="16" spans="1:66">
      <c r="A16">
        <v>1</v>
      </c>
      <c r="B16" s="1324"/>
      <c r="C16" t="s">
        <v>421</v>
      </c>
      <c r="D16" s="637">
        <v>0</v>
      </c>
      <c r="E16" s="638"/>
      <c r="H16" s="634"/>
      <c r="I16" s="635"/>
      <c r="K16" s="639" t="s">
        <v>265</v>
      </c>
      <c r="L16" s="640" t="s">
        <v>444</v>
      </c>
      <c r="M16" s="641">
        <v>223229344.60389999</v>
      </c>
    </row>
    <row r="17" spans="1:18">
      <c r="A17" s="107">
        <v>2</v>
      </c>
      <c r="B17" s="1326" t="s">
        <v>723</v>
      </c>
      <c r="C17" t="s">
        <v>444</v>
      </c>
      <c r="D17" s="637">
        <v>0</v>
      </c>
      <c r="E17" s="638"/>
      <c r="H17" s="634"/>
      <c r="I17" s="635"/>
      <c r="K17" s="639" t="s">
        <v>267</v>
      </c>
      <c r="L17" s="640" t="s">
        <v>445</v>
      </c>
      <c r="M17" s="641">
        <v>72292845</v>
      </c>
    </row>
    <row r="18" spans="1:18" ht="16.5" customHeight="1">
      <c r="A18" s="107">
        <v>2</v>
      </c>
      <c r="B18" s="1327"/>
      <c r="C18" t="s">
        <v>445</v>
      </c>
      <c r="D18" s="637">
        <v>0</v>
      </c>
      <c r="E18" s="638"/>
      <c r="H18" s="634" t="s">
        <v>1249</v>
      </c>
      <c r="I18" s="635">
        <v>3</v>
      </c>
      <c r="K18" s="639" t="s">
        <v>390</v>
      </c>
      <c r="L18" s="640" t="s">
        <v>2112</v>
      </c>
      <c r="M18" s="641">
        <v>1781588.1842499999</v>
      </c>
    </row>
    <row r="19" spans="1:18">
      <c r="A19" s="107">
        <v>2</v>
      </c>
      <c r="B19" s="1327"/>
      <c r="C19" t="s">
        <v>446</v>
      </c>
      <c r="D19" s="637">
        <v>55995.5</v>
      </c>
      <c r="E19" s="638"/>
      <c r="H19" s="634" t="s">
        <v>1250</v>
      </c>
      <c r="I19" s="635">
        <v>4</v>
      </c>
      <c r="K19" s="642"/>
    </row>
    <row r="20" spans="1:18">
      <c r="A20" s="107">
        <v>2</v>
      </c>
      <c r="B20" s="1327"/>
      <c r="C20" t="s">
        <v>1253</v>
      </c>
      <c r="D20" s="643">
        <v>0</v>
      </c>
      <c r="E20" s="13"/>
      <c r="H20" s="634" t="s">
        <v>1251</v>
      </c>
      <c r="I20" s="635">
        <v>5</v>
      </c>
      <c r="K20" s="642"/>
      <c r="N20" s="13"/>
      <c r="O20" s="13"/>
      <c r="P20" s="13"/>
      <c r="Q20" s="13"/>
      <c r="R20" s="13"/>
    </row>
    <row r="21" spans="1:18">
      <c r="A21" s="107">
        <v>2</v>
      </c>
      <c r="B21" s="1327"/>
      <c r="C21" t="s">
        <v>421</v>
      </c>
      <c r="D21" s="223">
        <v>0</v>
      </c>
      <c r="H21" s="634"/>
      <c r="I21" s="635"/>
      <c r="K21" s="642"/>
      <c r="N21" s="13"/>
      <c r="O21" s="13"/>
      <c r="P21" s="13"/>
      <c r="Q21" s="13"/>
      <c r="R21" s="13"/>
    </row>
    <row r="22" spans="1:18">
      <c r="A22">
        <v>1</v>
      </c>
      <c r="B22" s="1323" t="s">
        <v>724</v>
      </c>
      <c r="C22" t="s">
        <v>444</v>
      </c>
      <c r="D22" s="223">
        <v>0</v>
      </c>
      <c r="H22" s="599"/>
      <c r="I22" s="109"/>
      <c r="K22" s="13"/>
      <c r="N22" s="13"/>
      <c r="O22" s="1330"/>
      <c r="P22" s="1330"/>
      <c r="Q22" s="13"/>
      <c r="R22" s="13"/>
    </row>
    <row r="23" spans="1:18">
      <c r="A23">
        <v>1</v>
      </c>
      <c r="B23" s="1324"/>
      <c r="C23" t="s">
        <v>445</v>
      </c>
      <c r="D23" s="223">
        <v>0</v>
      </c>
      <c r="H23" s="599"/>
      <c r="I23" s="109"/>
      <c r="K23" s="13"/>
      <c r="N23" s="13"/>
      <c r="O23" s="1330"/>
      <c r="P23" s="1330"/>
      <c r="Q23" s="13"/>
      <c r="R23" s="13"/>
    </row>
    <row r="24" spans="1:18">
      <c r="A24">
        <v>1</v>
      </c>
      <c r="B24" s="1324"/>
      <c r="C24" t="s">
        <v>446</v>
      </c>
      <c r="D24" s="223">
        <v>71542.100000000006</v>
      </c>
      <c r="H24" s="599" t="s">
        <v>1252</v>
      </c>
      <c r="I24" s="109">
        <v>6</v>
      </c>
      <c r="K24" s="437"/>
      <c r="N24" s="13"/>
      <c r="O24" s="1330"/>
      <c r="P24" s="1330"/>
      <c r="Q24" s="13"/>
      <c r="R24" s="13"/>
    </row>
    <row r="25" spans="1:18">
      <c r="A25">
        <v>1</v>
      </c>
      <c r="B25" s="1324"/>
      <c r="C25" t="s">
        <v>1253</v>
      </c>
      <c r="D25" s="223">
        <v>0</v>
      </c>
      <c r="H25" s="599" t="s">
        <v>1253</v>
      </c>
      <c r="I25" s="109">
        <v>7</v>
      </c>
      <c r="K25" s="13"/>
      <c r="N25" s="13"/>
      <c r="O25" s="1330"/>
      <c r="P25" s="1330"/>
      <c r="Q25" s="13"/>
      <c r="R25" s="13"/>
    </row>
    <row r="26" spans="1:18">
      <c r="A26">
        <v>1</v>
      </c>
      <c r="B26" s="1324"/>
      <c r="C26" t="s">
        <v>421</v>
      </c>
      <c r="D26" s="223">
        <v>0</v>
      </c>
      <c r="H26" s="599" t="s">
        <v>1254</v>
      </c>
      <c r="I26" s="109">
        <v>8</v>
      </c>
      <c r="K26" s="1335">
        <v>182324111.80000001</v>
      </c>
      <c r="L26" s="1336"/>
      <c r="N26" s="13"/>
      <c r="O26" s="1330"/>
      <c r="P26" s="1330"/>
      <c r="Q26" s="13"/>
      <c r="R26" s="13"/>
    </row>
    <row r="27" spans="1:18">
      <c r="A27" s="107">
        <v>3</v>
      </c>
      <c r="B27" s="1323" t="s">
        <v>725</v>
      </c>
      <c r="C27" t="s">
        <v>444</v>
      </c>
      <c r="D27" s="223">
        <v>64321.4</v>
      </c>
      <c r="H27" s="599"/>
      <c r="I27" s="109"/>
      <c r="K27" s="1335">
        <v>68026938.299999997</v>
      </c>
      <c r="L27" s="1336"/>
      <c r="N27" s="13"/>
      <c r="O27" s="13"/>
      <c r="P27" s="13"/>
      <c r="Q27" s="13"/>
      <c r="R27" s="13"/>
    </row>
    <row r="28" spans="1:18">
      <c r="A28" s="107">
        <v>3</v>
      </c>
      <c r="B28" s="1324"/>
      <c r="C28" t="s">
        <v>445</v>
      </c>
      <c r="D28" s="223">
        <v>0</v>
      </c>
      <c r="H28" s="599"/>
      <c r="I28" s="109"/>
      <c r="K28" s="1335">
        <v>32515121.800000001</v>
      </c>
      <c r="L28" s="1336"/>
      <c r="N28" s="13"/>
      <c r="O28" s="13"/>
      <c r="P28" s="13"/>
      <c r="Q28" s="13"/>
      <c r="R28" s="13"/>
    </row>
    <row r="29" spans="1:18">
      <c r="A29" s="107">
        <v>3</v>
      </c>
      <c r="B29" s="1324"/>
      <c r="C29" t="s">
        <v>446</v>
      </c>
      <c r="D29" s="223">
        <v>12534.2</v>
      </c>
      <c r="H29" s="599"/>
      <c r="I29" s="109"/>
      <c r="K29" s="1335">
        <v>1714071.9</v>
      </c>
      <c r="L29" s="1336"/>
      <c r="N29" s="13"/>
      <c r="O29" s="13"/>
      <c r="P29" s="13"/>
      <c r="Q29" s="13"/>
      <c r="R29" s="13"/>
    </row>
    <row r="30" spans="1:18">
      <c r="A30" s="107">
        <v>3</v>
      </c>
      <c r="B30" s="1324"/>
      <c r="C30" t="s">
        <v>1253</v>
      </c>
      <c r="D30" s="223">
        <v>0</v>
      </c>
      <c r="H30" s="599" t="s">
        <v>1255</v>
      </c>
      <c r="I30" s="109">
        <v>9</v>
      </c>
      <c r="K30" s="1335">
        <v>1672825.5</v>
      </c>
      <c r="L30" s="1336"/>
      <c r="N30" s="13"/>
      <c r="O30" s="13"/>
      <c r="P30" s="13"/>
      <c r="Q30" s="13"/>
      <c r="R30" s="13"/>
    </row>
    <row r="31" spans="1:18" ht="15.75" customHeight="1">
      <c r="A31" s="107">
        <v>3</v>
      </c>
      <c r="B31" s="1324"/>
      <c r="C31" t="s">
        <v>421</v>
      </c>
      <c r="D31" s="223">
        <v>0</v>
      </c>
      <c r="H31" s="599" t="s">
        <v>1257</v>
      </c>
      <c r="I31" s="109">
        <v>10</v>
      </c>
      <c r="K31" s="226"/>
      <c r="L31" s="226"/>
      <c r="M31" s="227"/>
      <c r="N31" s="228"/>
    </row>
    <row r="32" spans="1:18" ht="12" customHeight="1">
      <c r="A32" s="107">
        <v>1</v>
      </c>
      <c r="B32" s="1323" t="s">
        <v>726</v>
      </c>
      <c r="C32" t="s">
        <v>444</v>
      </c>
      <c r="D32" s="223">
        <v>103425</v>
      </c>
      <c r="H32" s="599" t="s">
        <v>1256</v>
      </c>
      <c r="I32" s="109">
        <v>11</v>
      </c>
      <c r="K32" s="226"/>
      <c r="L32" s="226"/>
      <c r="M32" s="227"/>
      <c r="N32" s="228"/>
    </row>
    <row r="33" spans="1:14" ht="12" customHeight="1">
      <c r="A33" s="107">
        <v>1</v>
      </c>
      <c r="B33" s="1324"/>
      <c r="C33" t="s">
        <v>445</v>
      </c>
      <c r="D33" s="223">
        <v>0</v>
      </c>
      <c r="H33" s="599"/>
      <c r="I33" s="109"/>
      <c r="K33" s="226"/>
      <c r="L33" s="226"/>
      <c r="M33" s="227"/>
      <c r="N33" s="228"/>
    </row>
    <row r="34" spans="1:14" ht="12" customHeight="1">
      <c r="A34" s="107">
        <v>1</v>
      </c>
      <c r="B34" s="1324"/>
      <c r="C34" t="s">
        <v>446</v>
      </c>
      <c r="D34" s="223">
        <v>35808</v>
      </c>
      <c r="H34" s="599"/>
      <c r="I34" s="109"/>
      <c r="K34" s="226"/>
      <c r="L34" s="226"/>
      <c r="M34" s="227"/>
      <c r="N34" s="228"/>
    </row>
    <row r="35" spans="1:14" ht="12" customHeight="1">
      <c r="A35" s="107">
        <v>1</v>
      </c>
      <c r="B35" s="1324"/>
      <c r="C35" t="s">
        <v>1253</v>
      </c>
      <c r="D35" s="223">
        <v>0</v>
      </c>
      <c r="H35" s="599"/>
      <c r="I35" s="109"/>
      <c r="K35" s="226"/>
      <c r="L35" s="226"/>
      <c r="M35" s="227"/>
      <c r="N35" s="228"/>
    </row>
    <row r="36" spans="1:14" ht="12" customHeight="1">
      <c r="A36" s="107">
        <v>1</v>
      </c>
      <c r="B36" s="1324"/>
      <c r="C36" t="s">
        <v>421</v>
      </c>
      <c r="D36" s="223">
        <v>0</v>
      </c>
      <c r="H36" s="599" t="s">
        <v>1258</v>
      </c>
      <c r="I36" s="109">
        <v>12</v>
      </c>
      <c r="K36" s="226"/>
      <c r="L36" s="226"/>
      <c r="M36" s="227"/>
      <c r="N36" s="228"/>
    </row>
    <row r="37" spans="1:14" ht="15.75" customHeight="1">
      <c r="A37" s="107">
        <v>4</v>
      </c>
      <c r="B37" s="1323" t="s">
        <v>727</v>
      </c>
      <c r="C37" t="s">
        <v>444</v>
      </c>
      <c r="D37" s="223">
        <v>940382</v>
      </c>
      <c r="H37" s="599" t="s">
        <v>1259</v>
      </c>
      <c r="I37" s="109">
        <v>13</v>
      </c>
      <c r="K37" s="226"/>
      <c r="L37" s="226"/>
      <c r="M37" s="227"/>
      <c r="N37" s="228"/>
    </row>
    <row r="38" spans="1:14">
      <c r="A38" s="107">
        <v>4</v>
      </c>
      <c r="B38" s="1324"/>
      <c r="C38" t="s">
        <v>445</v>
      </c>
      <c r="D38" s="223">
        <v>0</v>
      </c>
      <c r="H38" s="599" t="s">
        <v>1260</v>
      </c>
      <c r="I38" s="109">
        <v>14</v>
      </c>
    </row>
    <row r="39" spans="1:14">
      <c r="A39" s="107">
        <v>4</v>
      </c>
      <c r="B39" s="1324"/>
      <c r="C39" t="s">
        <v>446</v>
      </c>
      <c r="D39" s="223">
        <v>0</v>
      </c>
      <c r="H39" s="599"/>
      <c r="I39" s="109"/>
    </row>
    <row r="40" spans="1:14">
      <c r="A40" s="107">
        <v>4</v>
      </c>
      <c r="B40" s="1324"/>
      <c r="C40" t="s">
        <v>1253</v>
      </c>
      <c r="D40" s="223">
        <v>0</v>
      </c>
      <c r="H40" s="599"/>
      <c r="I40" s="109"/>
    </row>
    <row r="41" spans="1:14" ht="15.75" customHeight="1">
      <c r="A41" s="107">
        <v>4</v>
      </c>
      <c r="B41" s="1324"/>
      <c r="C41" t="s">
        <v>421</v>
      </c>
      <c r="D41" s="223">
        <v>0</v>
      </c>
      <c r="H41" s="599"/>
      <c r="I41" s="109"/>
    </row>
    <row r="42" spans="1:14">
      <c r="A42">
        <v>1</v>
      </c>
      <c r="B42" s="1323" t="s">
        <v>728</v>
      </c>
      <c r="C42" t="s">
        <v>444</v>
      </c>
      <c r="D42" s="223">
        <v>933842.9</v>
      </c>
      <c r="H42" s="599" t="s">
        <v>1261</v>
      </c>
      <c r="I42" s="109">
        <v>15</v>
      </c>
    </row>
    <row r="43" spans="1:14">
      <c r="A43">
        <v>1</v>
      </c>
      <c r="B43" s="1324"/>
      <c r="C43" t="s">
        <v>445</v>
      </c>
      <c r="D43" s="223">
        <v>0</v>
      </c>
      <c r="H43" s="108" t="s">
        <v>1276</v>
      </c>
      <c r="I43" s="110">
        <v>16</v>
      </c>
    </row>
    <row r="44" spans="1:14">
      <c r="A44">
        <v>1</v>
      </c>
      <c r="B44" s="1324"/>
      <c r="C44" t="s">
        <v>446</v>
      </c>
      <c r="D44" s="223">
        <v>72942.2</v>
      </c>
      <c r="H44" s="108" t="s">
        <v>1277</v>
      </c>
      <c r="I44" s="110">
        <v>17</v>
      </c>
    </row>
    <row r="45" spans="1:14">
      <c r="A45">
        <v>1</v>
      </c>
      <c r="B45" s="1324"/>
      <c r="C45" t="s">
        <v>1253</v>
      </c>
      <c r="D45" s="223">
        <v>0</v>
      </c>
      <c r="H45" s="108"/>
      <c r="I45" s="110"/>
    </row>
    <row r="46" spans="1:14" ht="10.5" customHeight="1">
      <c r="A46">
        <v>1</v>
      </c>
      <c r="B46" s="1324"/>
      <c r="C46" t="s">
        <v>421</v>
      </c>
      <c r="D46" s="223">
        <v>0</v>
      </c>
      <c r="H46" s="108"/>
      <c r="I46" s="110"/>
    </row>
    <row r="47" spans="1:14">
      <c r="A47">
        <v>1</v>
      </c>
      <c r="B47" s="1323" t="s">
        <v>729</v>
      </c>
      <c r="C47" t="s">
        <v>444</v>
      </c>
      <c r="D47" s="223">
        <v>700881.3</v>
      </c>
      <c r="H47" s="108"/>
      <c r="I47" s="110"/>
    </row>
    <row r="48" spans="1:14" ht="15" customHeight="1">
      <c r="A48">
        <v>1</v>
      </c>
      <c r="B48" s="1324"/>
      <c r="C48" t="s">
        <v>445</v>
      </c>
      <c r="D48" s="223">
        <v>0</v>
      </c>
      <c r="H48" s="108" t="s">
        <v>1278</v>
      </c>
      <c r="I48" s="110">
        <v>18</v>
      </c>
    </row>
    <row r="49" spans="1:4">
      <c r="A49">
        <v>1</v>
      </c>
      <c r="B49" s="1324"/>
      <c r="C49" t="s">
        <v>446</v>
      </c>
      <c r="D49" s="223">
        <v>136710.79999999999</v>
      </c>
    </row>
    <row r="50" spans="1:4">
      <c r="A50">
        <v>1</v>
      </c>
      <c r="B50" s="1324"/>
      <c r="C50" t="s">
        <v>1253</v>
      </c>
      <c r="D50" s="223">
        <v>0</v>
      </c>
    </row>
    <row r="51" spans="1:4">
      <c r="A51">
        <v>1</v>
      </c>
      <c r="B51" s="1324"/>
      <c r="C51" t="s">
        <v>421</v>
      </c>
      <c r="D51" s="223">
        <v>22372.7</v>
      </c>
    </row>
    <row r="52" spans="1:4">
      <c r="A52">
        <v>1</v>
      </c>
      <c r="B52" s="1323" t="s">
        <v>730</v>
      </c>
      <c r="C52" t="s">
        <v>444</v>
      </c>
      <c r="D52" s="223">
        <v>0</v>
      </c>
    </row>
    <row r="53" spans="1:4">
      <c r="A53">
        <v>1</v>
      </c>
      <c r="B53" s="1324"/>
      <c r="C53" t="s">
        <v>445</v>
      </c>
      <c r="D53" s="223">
        <v>0</v>
      </c>
    </row>
    <row r="54" spans="1:4">
      <c r="A54">
        <v>1</v>
      </c>
      <c r="B54" s="1324"/>
      <c r="C54" t="s">
        <v>446</v>
      </c>
      <c r="D54" s="223">
        <v>16695</v>
      </c>
    </row>
    <row r="55" spans="1:4">
      <c r="A55">
        <v>1</v>
      </c>
      <c r="B55" s="1324"/>
      <c r="C55" t="s">
        <v>1253</v>
      </c>
      <c r="D55" s="223">
        <v>0</v>
      </c>
    </row>
    <row r="56" spans="1:4">
      <c r="A56">
        <v>1</v>
      </c>
      <c r="B56" s="1324"/>
      <c r="C56" t="s">
        <v>421</v>
      </c>
      <c r="D56" s="223">
        <v>0</v>
      </c>
    </row>
    <row r="57" spans="1:4">
      <c r="A57" s="107">
        <v>2</v>
      </c>
      <c r="B57" s="1323" t="s">
        <v>731</v>
      </c>
      <c r="C57" t="s">
        <v>444</v>
      </c>
      <c r="D57" s="223">
        <v>1682574.7</v>
      </c>
    </row>
    <row r="58" spans="1:4">
      <c r="A58" s="107">
        <v>2</v>
      </c>
      <c r="B58" s="1324"/>
      <c r="C58" t="s">
        <v>445</v>
      </c>
      <c r="D58" s="223">
        <v>1169773.1000000001</v>
      </c>
    </row>
    <row r="59" spans="1:4">
      <c r="A59" s="107">
        <v>2</v>
      </c>
      <c r="B59" s="1324"/>
      <c r="C59" t="s">
        <v>446</v>
      </c>
      <c r="D59" s="223">
        <v>226922.6</v>
      </c>
    </row>
    <row r="60" spans="1:4">
      <c r="A60" s="107">
        <v>2</v>
      </c>
      <c r="B60" s="1324"/>
      <c r="C60" t="s">
        <v>1253</v>
      </c>
      <c r="D60" s="223">
        <v>0</v>
      </c>
    </row>
    <row r="61" spans="1:4">
      <c r="A61" s="107">
        <v>2</v>
      </c>
      <c r="B61" s="1324"/>
      <c r="C61" t="s">
        <v>421</v>
      </c>
      <c r="D61" s="223">
        <v>58686.8</v>
      </c>
    </row>
    <row r="62" spans="1:4">
      <c r="A62">
        <v>1</v>
      </c>
      <c r="B62" s="1323" t="s">
        <v>732</v>
      </c>
      <c r="C62" t="s">
        <v>444</v>
      </c>
      <c r="D62" s="223">
        <v>0</v>
      </c>
    </row>
    <row r="63" spans="1:4">
      <c r="A63">
        <v>1</v>
      </c>
      <c r="B63" s="1324"/>
      <c r="C63" t="s">
        <v>445</v>
      </c>
      <c r="D63" s="223">
        <v>0</v>
      </c>
    </row>
    <row r="64" spans="1:4">
      <c r="A64">
        <v>1</v>
      </c>
      <c r="B64" s="1324"/>
      <c r="C64" t="s">
        <v>446</v>
      </c>
      <c r="D64" s="223">
        <v>14990.9</v>
      </c>
    </row>
    <row r="65" spans="1:4">
      <c r="A65">
        <v>1</v>
      </c>
      <c r="B65" s="1324"/>
      <c r="C65" t="s">
        <v>1253</v>
      </c>
      <c r="D65" s="223">
        <v>0</v>
      </c>
    </row>
    <row r="66" spans="1:4">
      <c r="A66">
        <v>1</v>
      </c>
      <c r="B66" s="1324"/>
      <c r="C66" t="s">
        <v>421</v>
      </c>
      <c r="D66" s="223">
        <v>0</v>
      </c>
    </row>
    <row r="67" spans="1:4">
      <c r="A67" s="107">
        <v>2</v>
      </c>
      <c r="B67" s="1323" t="s">
        <v>733</v>
      </c>
      <c r="C67" t="s">
        <v>444</v>
      </c>
      <c r="D67" s="223">
        <v>673254.2</v>
      </c>
    </row>
    <row r="68" spans="1:4">
      <c r="A68" s="107">
        <v>2</v>
      </c>
      <c r="B68" s="1324"/>
      <c r="C68" t="s">
        <v>445</v>
      </c>
      <c r="D68" s="223">
        <v>71280.7</v>
      </c>
    </row>
    <row r="69" spans="1:4">
      <c r="A69" s="107">
        <v>2</v>
      </c>
      <c r="B69" s="1324"/>
      <c r="C69" t="s">
        <v>446</v>
      </c>
      <c r="D69" s="223">
        <v>27910.799999999999</v>
      </c>
    </row>
    <row r="70" spans="1:4">
      <c r="A70" s="107">
        <v>2</v>
      </c>
      <c r="B70" s="1324"/>
      <c r="C70" t="s">
        <v>1253</v>
      </c>
      <c r="D70" s="223">
        <v>0</v>
      </c>
    </row>
    <row r="71" spans="1:4">
      <c r="A71" s="107">
        <v>2</v>
      </c>
      <c r="B71" s="1324"/>
      <c r="C71" t="s">
        <v>421</v>
      </c>
      <c r="D71" s="223">
        <v>0</v>
      </c>
    </row>
    <row r="72" spans="1:4">
      <c r="A72">
        <v>5</v>
      </c>
      <c r="B72" s="1323" t="s">
        <v>734</v>
      </c>
      <c r="C72" t="s">
        <v>444</v>
      </c>
      <c r="D72" s="223">
        <v>0</v>
      </c>
    </row>
    <row r="73" spans="1:4">
      <c r="A73">
        <v>5</v>
      </c>
      <c r="B73" s="1324"/>
      <c r="C73" t="s">
        <v>445</v>
      </c>
      <c r="D73" s="223">
        <v>0</v>
      </c>
    </row>
    <row r="74" spans="1:4">
      <c r="A74">
        <v>5</v>
      </c>
      <c r="B74" s="1324"/>
      <c r="C74" t="s">
        <v>446</v>
      </c>
      <c r="D74" s="223">
        <v>43891.3</v>
      </c>
    </row>
    <row r="75" spans="1:4">
      <c r="A75">
        <v>5</v>
      </c>
      <c r="B75" s="1324"/>
      <c r="C75" t="s">
        <v>1253</v>
      </c>
      <c r="D75" s="223">
        <v>0</v>
      </c>
    </row>
    <row r="76" spans="1:4">
      <c r="A76">
        <v>5</v>
      </c>
      <c r="B76" s="1325"/>
      <c r="C76" t="s">
        <v>421</v>
      </c>
      <c r="D76" s="223">
        <v>0</v>
      </c>
    </row>
    <row r="77" spans="1:4">
      <c r="A77">
        <v>1</v>
      </c>
      <c r="B77" s="1323" t="s">
        <v>735</v>
      </c>
      <c r="C77" t="s">
        <v>444</v>
      </c>
      <c r="D77" s="223">
        <v>76060.7</v>
      </c>
    </row>
    <row r="78" spans="1:4">
      <c r="A78">
        <v>1</v>
      </c>
      <c r="B78" s="1324"/>
      <c r="C78" t="s">
        <v>445</v>
      </c>
      <c r="D78" s="223">
        <v>0</v>
      </c>
    </row>
    <row r="79" spans="1:4">
      <c r="A79">
        <v>1</v>
      </c>
      <c r="B79" s="1324"/>
      <c r="C79" t="s">
        <v>446</v>
      </c>
      <c r="D79" s="223">
        <v>22060.9</v>
      </c>
    </row>
    <row r="80" spans="1:4">
      <c r="A80">
        <v>1</v>
      </c>
      <c r="B80" s="1324"/>
      <c r="C80" t="s">
        <v>1253</v>
      </c>
      <c r="D80" s="223">
        <v>0</v>
      </c>
    </row>
    <row r="81" spans="1:4">
      <c r="A81">
        <v>1</v>
      </c>
      <c r="B81" s="1324"/>
      <c r="C81" t="s">
        <v>421</v>
      </c>
      <c r="D81" s="223">
        <v>0</v>
      </c>
    </row>
    <row r="82" spans="1:4">
      <c r="A82">
        <v>5</v>
      </c>
      <c r="B82" s="1323" t="s">
        <v>736</v>
      </c>
      <c r="C82" t="s">
        <v>444</v>
      </c>
      <c r="D82" s="223">
        <v>0</v>
      </c>
    </row>
    <row r="83" spans="1:4">
      <c r="A83">
        <v>5</v>
      </c>
      <c r="B83" s="1324"/>
      <c r="C83" t="s">
        <v>445</v>
      </c>
      <c r="D83" s="223">
        <v>0</v>
      </c>
    </row>
    <row r="84" spans="1:4">
      <c r="A84">
        <v>5</v>
      </c>
      <c r="B84" s="1324"/>
      <c r="C84" t="s">
        <v>446</v>
      </c>
      <c r="D84" s="223">
        <v>803056.9</v>
      </c>
    </row>
    <row r="85" spans="1:4">
      <c r="A85">
        <v>5</v>
      </c>
      <c r="B85" s="1324"/>
      <c r="C85" t="s">
        <v>1253</v>
      </c>
      <c r="D85" s="223">
        <v>0</v>
      </c>
    </row>
    <row r="86" spans="1:4">
      <c r="A86">
        <v>5</v>
      </c>
      <c r="B86" s="1325"/>
      <c r="C86" t="s">
        <v>421</v>
      </c>
      <c r="D86" s="223">
        <v>0</v>
      </c>
    </row>
    <row r="87" spans="1:4">
      <c r="A87" s="111">
        <v>2</v>
      </c>
      <c r="B87" s="1323" t="s">
        <v>737</v>
      </c>
      <c r="C87" t="s">
        <v>444</v>
      </c>
      <c r="D87" s="223">
        <v>0</v>
      </c>
    </row>
    <row r="88" spans="1:4">
      <c r="A88" s="107">
        <v>2</v>
      </c>
      <c r="B88" s="1324"/>
      <c r="C88" t="s">
        <v>445</v>
      </c>
      <c r="D88" s="223">
        <v>0</v>
      </c>
    </row>
    <row r="89" spans="1:4">
      <c r="A89" s="107">
        <v>2</v>
      </c>
      <c r="B89" s="1324"/>
      <c r="C89" t="s">
        <v>446</v>
      </c>
      <c r="D89" s="223">
        <v>101763</v>
      </c>
    </row>
    <row r="90" spans="1:4">
      <c r="A90" s="107">
        <v>2</v>
      </c>
      <c r="B90" s="1324"/>
      <c r="C90" t="s">
        <v>1253</v>
      </c>
      <c r="D90" s="223">
        <v>0</v>
      </c>
    </row>
    <row r="91" spans="1:4">
      <c r="A91" s="107">
        <v>2</v>
      </c>
      <c r="B91" s="1324"/>
      <c r="C91" t="s">
        <v>421</v>
      </c>
      <c r="D91" s="223">
        <v>0</v>
      </c>
    </row>
    <row r="92" spans="1:4">
      <c r="A92" s="107">
        <v>1</v>
      </c>
      <c r="B92" s="1323" t="s">
        <v>738</v>
      </c>
      <c r="C92" t="s">
        <v>444</v>
      </c>
      <c r="D92" s="223">
        <v>0</v>
      </c>
    </row>
    <row r="93" spans="1:4">
      <c r="A93" s="107">
        <v>1</v>
      </c>
      <c r="B93" s="1324"/>
      <c r="C93" t="s">
        <v>445</v>
      </c>
      <c r="D93" s="223">
        <v>0</v>
      </c>
    </row>
    <row r="94" spans="1:4">
      <c r="A94" s="107">
        <v>1</v>
      </c>
      <c r="B94" s="1324"/>
      <c r="C94" t="s">
        <v>446</v>
      </c>
      <c r="D94" s="223">
        <v>45721</v>
      </c>
    </row>
    <row r="95" spans="1:4">
      <c r="A95" s="107">
        <v>1</v>
      </c>
      <c r="B95" s="1324"/>
      <c r="C95" t="s">
        <v>1253</v>
      </c>
      <c r="D95" s="223">
        <v>0</v>
      </c>
    </row>
    <row r="96" spans="1:4">
      <c r="A96" s="107">
        <v>1</v>
      </c>
      <c r="B96" s="1324"/>
      <c r="C96" t="s">
        <v>421</v>
      </c>
      <c r="D96" s="223">
        <v>0</v>
      </c>
    </row>
    <row r="97" spans="1:4" ht="12.75" customHeight="1">
      <c r="A97" s="107">
        <v>10</v>
      </c>
      <c r="B97" s="1324" t="s">
        <v>2113</v>
      </c>
      <c r="C97" t="s">
        <v>444</v>
      </c>
      <c r="D97" s="223">
        <v>0</v>
      </c>
    </row>
    <row r="98" spans="1:4">
      <c r="A98" s="107">
        <v>10</v>
      </c>
      <c r="B98" s="1324"/>
      <c r="C98" t="s">
        <v>445</v>
      </c>
      <c r="D98" s="223">
        <v>0</v>
      </c>
    </row>
    <row r="99" spans="1:4">
      <c r="A99" s="107">
        <v>10</v>
      </c>
      <c r="B99" s="1324"/>
      <c r="C99" t="s">
        <v>446</v>
      </c>
      <c r="D99" s="223">
        <v>149267.9</v>
      </c>
    </row>
    <row r="100" spans="1:4">
      <c r="A100" s="107">
        <v>10</v>
      </c>
      <c r="B100" s="1324"/>
      <c r="C100" t="s">
        <v>1253</v>
      </c>
      <c r="D100" s="223">
        <v>0</v>
      </c>
    </row>
    <row r="101" spans="1:4">
      <c r="A101" s="107">
        <v>10</v>
      </c>
      <c r="B101" s="1325"/>
      <c r="C101" t="s">
        <v>421</v>
      </c>
      <c r="D101" s="223">
        <v>0</v>
      </c>
    </row>
    <row r="102" spans="1:4" s="645" customFormat="1">
      <c r="A102" s="644">
        <v>2</v>
      </c>
      <c r="B102" s="1323" t="s">
        <v>739</v>
      </c>
      <c r="C102" s="645" t="s">
        <v>444</v>
      </c>
      <c r="D102" s="113">
        <v>0</v>
      </c>
    </row>
    <row r="103" spans="1:4">
      <c r="A103" s="107">
        <v>2</v>
      </c>
      <c r="B103" s="1324"/>
      <c r="C103" t="s">
        <v>445</v>
      </c>
      <c r="D103" s="113">
        <v>0</v>
      </c>
    </row>
    <row r="104" spans="1:4">
      <c r="A104" s="107">
        <v>2</v>
      </c>
      <c r="B104" s="1324"/>
      <c r="C104" t="s">
        <v>446</v>
      </c>
      <c r="D104" s="113">
        <v>30771.4</v>
      </c>
    </row>
    <row r="105" spans="1:4">
      <c r="A105" s="107">
        <v>2</v>
      </c>
      <c r="B105" s="1324"/>
      <c r="C105" t="s">
        <v>1253</v>
      </c>
      <c r="D105" s="113">
        <v>0</v>
      </c>
    </row>
    <row r="106" spans="1:4">
      <c r="A106" s="107">
        <v>2</v>
      </c>
      <c r="B106" s="1324"/>
      <c r="C106" t="s">
        <v>421</v>
      </c>
      <c r="D106" s="113">
        <v>0</v>
      </c>
    </row>
    <row r="107" spans="1:4">
      <c r="A107" s="107">
        <v>1</v>
      </c>
      <c r="B107" s="1323" t="s">
        <v>740</v>
      </c>
      <c r="C107" t="s">
        <v>444</v>
      </c>
      <c r="D107" s="113">
        <v>936726.6</v>
      </c>
    </row>
    <row r="108" spans="1:4">
      <c r="A108" s="107">
        <v>1</v>
      </c>
      <c r="B108" s="1324"/>
      <c r="C108" t="s">
        <v>445</v>
      </c>
      <c r="D108" s="113">
        <v>171855.7</v>
      </c>
    </row>
    <row r="109" spans="1:4">
      <c r="A109" s="107">
        <v>1</v>
      </c>
      <c r="B109" s="1324"/>
      <c r="C109" t="s">
        <v>446</v>
      </c>
      <c r="D109" s="113">
        <v>0</v>
      </c>
    </row>
    <row r="110" spans="1:4">
      <c r="A110" s="107">
        <v>1</v>
      </c>
      <c r="B110" s="1324"/>
      <c r="C110" t="s">
        <v>1253</v>
      </c>
      <c r="D110" s="113">
        <v>0</v>
      </c>
    </row>
    <row r="111" spans="1:4">
      <c r="A111" s="107">
        <v>1</v>
      </c>
      <c r="B111" s="1324"/>
      <c r="C111" t="s">
        <v>421</v>
      </c>
      <c r="D111" s="113">
        <v>37388.5</v>
      </c>
    </row>
    <row r="112" spans="1:4">
      <c r="A112" s="107">
        <v>2</v>
      </c>
      <c r="B112" s="1323" t="s">
        <v>741</v>
      </c>
      <c r="C112" t="s">
        <v>444</v>
      </c>
      <c r="D112" s="113">
        <v>0</v>
      </c>
    </row>
    <row r="113" spans="1:4">
      <c r="A113" s="107">
        <v>2</v>
      </c>
      <c r="B113" s="1324"/>
      <c r="C113" t="s">
        <v>445</v>
      </c>
      <c r="D113" s="113">
        <v>0</v>
      </c>
    </row>
    <row r="114" spans="1:4">
      <c r="A114" s="107">
        <v>2</v>
      </c>
      <c r="B114" s="1324"/>
      <c r="C114" t="s">
        <v>446</v>
      </c>
      <c r="D114" s="113">
        <v>61969.1</v>
      </c>
    </row>
    <row r="115" spans="1:4">
      <c r="A115" s="107">
        <v>2</v>
      </c>
      <c r="B115" s="1324"/>
      <c r="C115" t="s">
        <v>1253</v>
      </c>
      <c r="D115" s="113">
        <v>0</v>
      </c>
    </row>
    <row r="116" spans="1:4">
      <c r="A116" s="107">
        <v>2</v>
      </c>
      <c r="B116" s="1324"/>
      <c r="C116" t="s">
        <v>421</v>
      </c>
      <c r="D116" s="113">
        <v>0</v>
      </c>
    </row>
    <row r="117" spans="1:4">
      <c r="A117" s="107">
        <v>2</v>
      </c>
      <c r="B117" s="1323" t="s">
        <v>742</v>
      </c>
      <c r="C117" t="s">
        <v>444</v>
      </c>
      <c r="D117" s="113">
        <v>0</v>
      </c>
    </row>
    <row r="118" spans="1:4">
      <c r="A118" s="107">
        <v>2</v>
      </c>
      <c r="B118" s="1324"/>
      <c r="C118" t="s">
        <v>445</v>
      </c>
      <c r="D118" s="113">
        <v>0</v>
      </c>
    </row>
    <row r="119" spans="1:4">
      <c r="A119" s="107">
        <v>2</v>
      </c>
      <c r="B119" s="1324"/>
      <c r="C119" t="s">
        <v>446</v>
      </c>
      <c r="D119" s="113">
        <v>29090.6</v>
      </c>
    </row>
    <row r="120" spans="1:4">
      <c r="A120" s="107">
        <v>2</v>
      </c>
      <c r="B120" s="1324"/>
      <c r="C120" t="s">
        <v>1253</v>
      </c>
      <c r="D120" s="113">
        <v>0</v>
      </c>
    </row>
    <row r="121" spans="1:4">
      <c r="A121" s="107">
        <v>2</v>
      </c>
      <c r="B121" s="1325"/>
      <c r="C121" t="s">
        <v>421</v>
      </c>
      <c r="D121" s="113">
        <v>0</v>
      </c>
    </row>
    <row r="122" spans="1:4">
      <c r="A122" s="107">
        <v>2</v>
      </c>
      <c r="B122" s="1323" t="s">
        <v>743</v>
      </c>
      <c r="C122" t="s">
        <v>444</v>
      </c>
      <c r="D122" s="113">
        <v>0</v>
      </c>
    </row>
    <row r="123" spans="1:4">
      <c r="A123" s="107">
        <v>2</v>
      </c>
      <c r="B123" s="1324"/>
      <c r="C123" t="s">
        <v>445</v>
      </c>
      <c r="D123" s="113">
        <v>0</v>
      </c>
    </row>
    <row r="124" spans="1:4">
      <c r="A124" s="107">
        <v>2</v>
      </c>
      <c r="B124" s="1324"/>
      <c r="C124" t="s">
        <v>446</v>
      </c>
      <c r="D124" s="113">
        <v>79227.199999999997</v>
      </c>
    </row>
    <row r="125" spans="1:4">
      <c r="A125" s="107">
        <v>2</v>
      </c>
      <c r="B125" s="1324"/>
      <c r="C125" t="s">
        <v>1253</v>
      </c>
      <c r="D125" s="113">
        <v>0</v>
      </c>
    </row>
    <row r="126" spans="1:4">
      <c r="A126" s="107">
        <v>2</v>
      </c>
      <c r="B126" s="1324"/>
      <c r="C126" t="s">
        <v>421</v>
      </c>
      <c r="D126" s="113">
        <v>0</v>
      </c>
    </row>
    <row r="127" spans="1:4">
      <c r="A127" s="107">
        <v>6</v>
      </c>
      <c r="B127" s="1323" t="s">
        <v>744</v>
      </c>
      <c r="C127" t="s">
        <v>444</v>
      </c>
      <c r="D127" s="113">
        <v>832838.3</v>
      </c>
    </row>
    <row r="128" spans="1:4">
      <c r="A128" s="107">
        <v>6</v>
      </c>
      <c r="B128" s="1324"/>
      <c r="C128" t="s">
        <v>445</v>
      </c>
      <c r="D128" s="113">
        <v>579581</v>
      </c>
    </row>
    <row r="129" spans="1:4">
      <c r="A129" s="107">
        <v>6</v>
      </c>
      <c r="B129" s="1324"/>
      <c r="C129" t="s">
        <v>446</v>
      </c>
      <c r="D129" s="113">
        <v>0</v>
      </c>
    </row>
    <row r="130" spans="1:4">
      <c r="A130" s="107">
        <v>6</v>
      </c>
      <c r="B130" s="1324"/>
      <c r="C130" t="s">
        <v>1253</v>
      </c>
      <c r="D130" s="113">
        <v>0</v>
      </c>
    </row>
    <row r="131" spans="1:4">
      <c r="A131" s="107">
        <v>6</v>
      </c>
      <c r="B131" s="1325"/>
      <c r="C131" t="s">
        <v>421</v>
      </c>
      <c r="D131" s="113">
        <v>0</v>
      </c>
    </row>
    <row r="132" spans="1:4">
      <c r="A132" s="107">
        <v>1</v>
      </c>
      <c r="B132" s="1323" t="s">
        <v>745</v>
      </c>
      <c r="C132" t="s">
        <v>444</v>
      </c>
      <c r="D132" s="113">
        <v>450469.9</v>
      </c>
    </row>
    <row r="133" spans="1:4">
      <c r="A133" s="107">
        <v>1</v>
      </c>
      <c r="B133" s="1324"/>
      <c r="C133" t="s">
        <v>445</v>
      </c>
      <c r="D133" s="113">
        <v>0</v>
      </c>
    </row>
    <row r="134" spans="1:4">
      <c r="A134" s="107">
        <v>1</v>
      </c>
      <c r="B134" s="1324"/>
      <c r="C134" t="s">
        <v>446</v>
      </c>
      <c r="D134" s="113">
        <v>0</v>
      </c>
    </row>
    <row r="135" spans="1:4">
      <c r="A135" s="107">
        <v>1</v>
      </c>
      <c r="B135" s="1324"/>
      <c r="C135" t="s">
        <v>1253</v>
      </c>
      <c r="D135" s="113">
        <v>0</v>
      </c>
    </row>
    <row r="136" spans="1:4">
      <c r="A136" s="107">
        <v>1</v>
      </c>
      <c r="B136" s="1325"/>
      <c r="C136" t="s">
        <v>421</v>
      </c>
      <c r="D136" s="113">
        <v>8857</v>
      </c>
    </row>
    <row r="137" spans="1:4">
      <c r="A137" s="107">
        <v>1</v>
      </c>
      <c r="B137" s="1323" t="s">
        <v>1511</v>
      </c>
      <c r="C137" t="s">
        <v>444</v>
      </c>
      <c r="D137" s="113">
        <v>0</v>
      </c>
    </row>
    <row r="138" spans="1:4">
      <c r="A138" s="107">
        <v>1</v>
      </c>
      <c r="B138" s="1324"/>
      <c r="C138" t="s">
        <v>445</v>
      </c>
      <c r="D138" s="113">
        <v>0</v>
      </c>
    </row>
    <row r="139" spans="1:4">
      <c r="A139" s="107">
        <v>1</v>
      </c>
      <c r="B139" s="1324"/>
      <c r="C139" t="s">
        <v>446</v>
      </c>
      <c r="D139" s="113">
        <v>19603</v>
      </c>
    </row>
    <row r="140" spans="1:4">
      <c r="A140" s="107">
        <v>1</v>
      </c>
      <c r="B140" s="1324"/>
      <c r="C140" t="s">
        <v>1253</v>
      </c>
      <c r="D140" s="113">
        <v>0</v>
      </c>
    </row>
    <row r="141" spans="1:4">
      <c r="A141" s="107">
        <v>1</v>
      </c>
      <c r="B141" s="1325"/>
      <c r="C141" t="s">
        <v>421</v>
      </c>
      <c r="D141" s="113">
        <v>0</v>
      </c>
    </row>
    <row r="142" spans="1:4">
      <c r="A142" s="107">
        <v>1</v>
      </c>
      <c r="B142" s="1323" t="s">
        <v>746</v>
      </c>
      <c r="C142" t="s">
        <v>444</v>
      </c>
      <c r="D142" s="113">
        <v>325644.59999999998</v>
      </c>
    </row>
    <row r="143" spans="1:4">
      <c r="A143" s="107">
        <v>1</v>
      </c>
      <c r="B143" s="1324"/>
      <c r="C143" t="s">
        <v>445</v>
      </c>
      <c r="D143" s="113">
        <v>94968.8</v>
      </c>
    </row>
    <row r="144" spans="1:4">
      <c r="A144" s="107">
        <v>1</v>
      </c>
      <c r="B144" s="1324"/>
      <c r="C144" t="s">
        <v>446</v>
      </c>
      <c r="D144" s="113">
        <v>3400</v>
      </c>
    </row>
    <row r="145" spans="1:4">
      <c r="A145" s="107">
        <v>1</v>
      </c>
      <c r="B145" s="1324"/>
      <c r="C145" t="s">
        <v>1253</v>
      </c>
      <c r="D145" s="113">
        <v>0</v>
      </c>
    </row>
    <row r="146" spans="1:4">
      <c r="A146" s="107">
        <v>1</v>
      </c>
      <c r="B146" s="1324"/>
      <c r="C146" t="s">
        <v>421</v>
      </c>
      <c r="D146" s="113">
        <v>15008.8</v>
      </c>
    </row>
    <row r="147" spans="1:4">
      <c r="A147" s="107">
        <v>2</v>
      </c>
      <c r="B147" s="1323" t="s">
        <v>747</v>
      </c>
      <c r="C147" t="s">
        <v>444</v>
      </c>
      <c r="D147" s="113">
        <v>0</v>
      </c>
    </row>
    <row r="148" spans="1:4">
      <c r="A148" s="107">
        <v>2</v>
      </c>
      <c r="B148" s="1324"/>
      <c r="C148" t="s">
        <v>445</v>
      </c>
      <c r="D148" s="113">
        <v>0</v>
      </c>
    </row>
    <row r="149" spans="1:4">
      <c r="A149" s="107">
        <v>2</v>
      </c>
      <c r="B149" s="1324"/>
      <c r="C149" t="s">
        <v>446</v>
      </c>
      <c r="D149" s="113">
        <v>6671.3</v>
      </c>
    </row>
    <row r="150" spans="1:4">
      <c r="A150" s="107">
        <v>2</v>
      </c>
      <c r="B150" s="1324"/>
      <c r="C150" t="s">
        <v>1253</v>
      </c>
      <c r="D150" s="113">
        <v>0</v>
      </c>
    </row>
    <row r="151" spans="1:4">
      <c r="A151" s="107">
        <v>2</v>
      </c>
      <c r="B151" s="1324"/>
      <c r="C151" t="s">
        <v>421</v>
      </c>
      <c r="D151" s="113">
        <v>0</v>
      </c>
    </row>
    <row r="152" spans="1:4">
      <c r="A152" s="107">
        <v>1</v>
      </c>
      <c r="B152" s="1323" t="s">
        <v>748</v>
      </c>
      <c r="C152" t="s">
        <v>444</v>
      </c>
      <c r="D152" s="113">
        <v>560019.6</v>
      </c>
    </row>
    <row r="153" spans="1:4">
      <c r="A153" s="107">
        <v>1</v>
      </c>
      <c r="B153" s="1324"/>
      <c r="C153" t="s">
        <v>445</v>
      </c>
      <c r="D153" s="113">
        <v>3395.7</v>
      </c>
    </row>
    <row r="154" spans="1:4">
      <c r="A154" s="107">
        <v>1</v>
      </c>
      <c r="B154" s="1324"/>
      <c r="C154" t="s">
        <v>446</v>
      </c>
      <c r="D154" s="113">
        <v>0</v>
      </c>
    </row>
    <row r="155" spans="1:4">
      <c r="A155" s="107">
        <v>1</v>
      </c>
      <c r="B155" s="1324"/>
      <c r="C155" t="s">
        <v>1253</v>
      </c>
      <c r="D155" s="113">
        <v>0</v>
      </c>
    </row>
    <row r="156" spans="1:4">
      <c r="A156" s="107">
        <v>1</v>
      </c>
      <c r="B156" s="1324"/>
      <c r="C156" t="s">
        <v>421</v>
      </c>
      <c r="D156" s="113">
        <v>0</v>
      </c>
    </row>
    <row r="157" spans="1:4">
      <c r="A157" s="107">
        <v>7</v>
      </c>
      <c r="B157" s="1323" t="s">
        <v>749</v>
      </c>
      <c r="C157" t="s">
        <v>444</v>
      </c>
      <c r="D157" s="113">
        <v>0</v>
      </c>
    </row>
    <row r="158" spans="1:4">
      <c r="A158" s="107">
        <v>7</v>
      </c>
      <c r="B158" s="1324"/>
      <c r="C158" t="s">
        <v>445</v>
      </c>
      <c r="D158" s="113">
        <v>0</v>
      </c>
    </row>
    <row r="159" spans="1:4">
      <c r="A159" s="107">
        <v>7</v>
      </c>
      <c r="B159" s="1324"/>
      <c r="C159" t="s">
        <v>446</v>
      </c>
      <c r="D159" s="113">
        <v>48816.6</v>
      </c>
    </row>
    <row r="160" spans="1:4">
      <c r="A160" s="107">
        <v>7</v>
      </c>
      <c r="B160" s="1324"/>
      <c r="C160" t="s">
        <v>1253</v>
      </c>
      <c r="D160" s="113">
        <v>0</v>
      </c>
    </row>
    <row r="161" spans="1:4">
      <c r="A161" s="107">
        <v>7</v>
      </c>
      <c r="B161" s="1324"/>
      <c r="C161" t="s">
        <v>421</v>
      </c>
      <c r="D161" s="113">
        <v>0</v>
      </c>
    </row>
    <row r="162" spans="1:4">
      <c r="A162" s="107">
        <v>4</v>
      </c>
      <c r="B162" s="1323" t="s">
        <v>750</v>
      </c>
      <c r="C162" t="s">
        <v>444</v>
      </c>
      <c r="D162" s="113">
        <v>738482.4</v>
      </c>
    </row>
    <row r="163" spans="1:4">
      <c r="A163" s="107">
        <v>4</v>
      </c>
      <c r="B163" s="1324"/>
      <c r="C163" t="s">
        <v>445</v>
      </c>
      <c r="D163" s="113">
        <v>0</v>
      </c>
    </row>
    <row r="164" spans="1:4">
      <c r="A164" s="107">
        <v>4</v>
      </c>
      <c r="B164" s="1324"/>
      <c r="C164" t="s">
        <v>446</v>
      </c>
      <c r="D164" s="113">
        <v>0</v>
      </c>
    </row>
    <row r="165" spans="1:4">
      <c r="A165" s="107">
        <v>4</v>
      </c>
      <c r="B165" s="1324"/>
      <c r="C165" t="s">
        <v>1253</v>
      </c>
      <c r="D165" s="113">
        <v>0</v>
      </c>
    </row>
    <row r="166" spans="1:4">
      <c r="A166" s="107">
        <v>4</v>
      </c>
      <c r="B166" s="1324"/>
      <c r="C166" t="s">
        <v>421</v>
      </c>
      <c r="D166" s="113">
        <v>7869.7</v>
      </c>
    </row>
    <row r="167" spans="1:4">
      <c r="A167" s="107">
        <v>2</v>
      </c>
      <c r="B167" s="1323" t="s">
        <v>751</v>
      </c>
      <c r="C167" t="s">
        <v>444</v>
      </c>
      <c r="D167" s="113">
        <v>3873.1</v>
      </c>
    </row>
    <row r="168" spans="1:4">
      <c r="A168" s="107">
        <v>2</v>
      </c>
      <c r="B168" s="1324"/>
      <c r="C168" t="s">
        <v>445</v>
      </c>
      <c r="D168" s="113">
        <v>6690.1</v>
      </c>
    </row>
    <row r="169" spans="1:4">
      <c r="A169" s="107">
        <v>2</v>
      </c>
      <c r="B169" s="1324"/>
      <c r="C169" t="s">
        <v>446</v>
      </c>
      <c r="D169" s="113">
        <v>0</v>
      </c>
    </row>
    <row r="170" spans="1:4">
      <c r="A170" s="107">
        <v>2</v>
      </c>
      <c r="B170" s="1324"/>
      <c r="C170" t="s">
        <v>1253</v>
      </c>
      <c r="D170" s="113">
        <v>0</v>
      </c>
    </row>
    <row r="171" spans="1:4">
      <c r="A171" s="107">
        <v>2</v>
      </c>
      <c r="B171" s="1324"/>
      <c r="C171" t="s">
        <v>421</v>
      </c>
      <c r="D171" s="113">
        <v>0</v>
      </c>
    </row>
    <row r="172" spans="1:4">
      <c r="A172" s="107">
        <v>2</v>
      </c>
      <c r="B172" s="1323" t="s">
        <v>752</v>
      </c>
      <c r="C172" t="s">
        <v>444</v>
      </c>
      <c r="D172" s="113">
        <v>652247</v>
      </c>
    </row>
    <row r="173" spans="1:4">
      <c r="A173" s="107">
        <v>2</v>
      </c>
      <c r="B173" s="1324"/>
      <c r="C173" t="s">
        <v>445</v>
      </c>
      <c r="D173" s="113">
        <v>0</v>
      </c>
    </row>
    <row r="174" spans="1:4">
      <c r="A174" s="107">
        <v>2</v>
      </c>
      <c r="B174" s="1324"/>
      <c r="C174" t="s">
        <v>446</v>
      </c>
      <c r="D174" s="113">
        <v>0</v>
      </c>
    </row>
    <row r="175" spans="1:4">
      <c r="A175" s="107">
        <v>2</v>
      </c>
      <c r="B175" s="1324"/>
      <c r="C175" t="s">
        <v>1253</v>
      </c>
      <c r="D175" s="113">
        <v>0</v>
      </c>
    </row>
    <row r="176" spans="1:4">
      <c r="A176" s="107">
        <v>2</v>
      </c>
      <c r="B176" s="1324"/>
      <c r="C176" t="s">
        <v>421</v>
      </c>
      <c r="D176" s="113">
        <v>0</v>
      </c>
    </row>
    <row r="177" spans="1:4">
      <c r="A177" s="111">
        <v>1</v>
      </c>
      <c r="B177" s="1323" t="s">
        <v>753</v>
      </c>
      <c r="C177" t="s">
        <v>444</v>
      </c>
      <c r="D177" s="113">
        <v>1335732.8999999999</v>
      </c>
    </row>
    <row r="178" spans="1:4">
      <c r="A178" s="111">
        <v>1</v>
      </c>
      <c r="B178" s="1324"/>
      <c r="C178" t="s">
        <v>445</v>
      </c>
      <c r="D178" s="113">
        <v>280641.40000000002</v>
      </c>
    </row>
    <row r="179" spans="1:4">
      <c r="A179" s="111">
        <v>1</v>
      </c>
      <c r="B179" s="1324"/>
      <c r="C179" t="s">
        <v>446</v>
      </c>
      <c r="D179" s="113">
        <v>0</v>
      </c>
    </row>
    <row r="180" spans="1:4">
      <c r="A180" s="111">
        <v>1</v>
      </c>
      <c r="B180" s="1324"/>
      <c r="C180" t="s">
        <v>1253</v>
      </c>
      <c r="D180" s="113">
        <v>0</v>
      </c>
    </row>
    <row r="181" spans="1:4">
      <c r="A181" s="111">
        <v>1</v>
      </c>
      <c r="B181" s="1324"/>
      <c r="C181" t="s">
        <v>421</v>
      </c>
      <c r="D181" s="113">
        <v>35647.599999999999</v>
      </c>
    </row>
    <row r="182" spans="1:4">
      <c r="A182" s="107">
        <v>15</v>
      </c>
      <c r="B182" s="1323" t="s">
        <v>754</v>
      </c>
      <c r="C182" t="s">
        <v>444</v>
      </c>
      <c r="D182" s="113">
        <v>3544.5</v>
      </c>
    </row>
    <row r="183" spans="1:4">
      <c r="A183" s="107">
        <v>15</v>
      </c>
      <c r="B183" s="1324"/>
      <c r="C183" t="s">
        <v>445</v>
      </c>
      <c r="D183" s="113">
        <v>0</v>
      </c>
    </row>
    <row r="184" spans="1:4">
      <c r="A184" s="107">
        <v>15</v>
      </c>
      <c r="B184" s="1324"/>
      <c r="C184" t="s">
        <v>446</v>
      </c>
      <c r="D184" s="113">
        <v>0</v>
      </c>
    </row>
    <row r="185" spans="1:4">
      <c r="A185" s="107">
        <v>15</v>
      </c>
      <c r="B185" s="1324"/>
      <c r="C185" t="s">
        <v>1253</v>
      </c>
      <c r="D185" s="113">
        <v>0</v>
      </c>
    </row>
    <row r="186" spans="1:4">
      <c r="A186" s="107">
        <v>15</v>
      </c>
      <c r="B186" s="1325"/>
      <c r="C186" t="s">
        <v>421</v>
      </c>
      <c r="D186" s="113">
        <v>0</v>
      </c>
    </row>
    <row r="187" spans="1:4">
      <c r="A187" s="107">
        <v>1</v>
      </c>
      <c r="B187" s="1323" t="s">
        <v>2114</v>
      </c>
      <c r="C187" t="s">
        <v>444</v>
      </c>
      <c r="D187" s="113">
        <v>15409.6</v>
      </c>
    </row>
    <row r="188" spans="1:4">
      <c r="A188" s="107">
        <v>1</v>
      </c>
      <c r="B188" s="1324"/>
      <c r="C188" t="s">
        <v>445</v>
      </c>
      <c r="D188" s="113">
        <v>0</v>
      </c>
    </row>
    <row r="189" spans="1:4">
      <c r="A189" s="107">
        <v>1</v>
      </c>
      <c r="B189" s="1324"/>
      <c r="C189" t="s">
        <v>446</v>
      </c>
      <c r="D189" s="113">
        <v>0</v>
      </c>
    </row>
    <row r="190" spans="1:4">
      <c r="A190" s="107">
        <v>1</v>
      </c>
      <c r="B190" s="1324"/>
      <c r="C190" t="s">
        <v>1253</v>
      </c>
      <c r="D190" s="113">
        <v>0</v>
      </c>
    </row>
    <row r="191" spans="1:4">
      <c r="A191" s="107">
        <v>1</v>
      </c>
      <c r="B191" s="1325"/>
      <c r="C191" t="s">
        <v>421</v>
      </c>
      <c r="D191" s="113">
        <v>0</v>
      </c>
    </row>
    <row r="192" spans="1:4">
      <c r="A192" s="107">
        <v>3</v>
      </c>
      <c r="B192" s="1323" t="s">
        <v>755</v>
      </c>
      <c r="C192" t="s">
        <v>444</v>
      </c>
      <c r="D192" s="113">
        <v>95804.3</v>
      </c>
    </row>
    <row r="193" spans="1:4">
      <c r="A193" s="107">
        <v>3</v>
      </c>
      <c r="B193" s="1324"/>
      <c r="C193" t="s">
        <v>445</v>
      </c>
      <c r="D193" s="113">
        <v>0</v>
      </c>
    </row>
    <row r="194" spans="1:4">
      <c r="A194" s="107">
        <v>3</v>
      </c>
      <c r="B194" s="1324"/>
      <c r="C194" t="s">
        <v>446</v>
      </c>
      <c r="D194" s="113">
        <v>0</v>
      </c>
    </row>
    <row r="195" spans="1:4">
      <c r="A195" s="107">
        <v>3</v>
      </c>
      <c r="B195" s="1324"/>
      <c r="C195" t="s">
        <v>1253</v>
      </c>
      <c r="D195" s="113">
        <v>0</v>
      </c>
    </row>
    <row r="196" spans="1:4">
      <c r="A196" s="107">
        <v>3</v>
      </c>
      <c r="B196" s="1324"/>
      <c r="C196" t="s">
        <v>421</v>
      </c>
      <c r="D196" s="113">
        <v>0</v>
      </c>
    </row>
    <row r="197" spans="1:4">
      <c r="A197" s="107">
        <v>5</v>
      </c>
      <c r="B197" s="1323" t="s">
        <v>756</v>
      </c>
      <c r="C197" t="s">
        <v>444</v>
      </c>
      <c r="D197" s="113">
        <v>401902.2</v>
      </c>
    </row>
    <row r="198" spans="1:4">
      <c r="A198" s="107">
        <v>5</v>
      </c>
      <c r="B198" s="1324"/>
      <c r="C198" t="s">
        <v>445</v>
      </c>
      <c r="D198" s="113">
        <v>0</v>
      </c>
    </row>
    <row r="199" spans="1:4">
      <c r="A199" s="107">
        <v>5</v>
      </c>
      <c r="B199" s="1324"/>
      <c r="C199" t="s">
        <v>446</v>
      </c>
      <c r="D199" s="113">
        <v>362216.2</v>
      </c>
    </row>
    <row r="200" spans="1:4">
      <c r="A200" s="107">
        <v>5</v>
      </c>
      <c r="B200" s="1324"/>
      <c r="C200" t="s">
        <v>1253</v>
      </c>
      <c r="D200" s="113">
        <v>0</v>
      </c>
    </row>
    <row r="201" spans="1:4">
      <c r="A201" s="107">
        <v>5</v>
      </c>
      <c r="B201" s="1324"/>
      <c r="C201" t="s">
        <v>421</v>
      </c>
      <c r="D201" s="113">
        <v>0</v>
      </c>
    </row>
    <row r="202" spans="1:4">
      <c r="A202" s="107">
        <v>1</v>
      </c>
      <c r="B202" s="1323" t="s">
        <v>757</v>
      </c>
      <c r="C202" t="s">
        <v>444</v>
      </c>
      <c r="D202" s="113">
        <v>1463448.2</v>
      </c>
    </row>
    <row r="203" spans="1:4">
      <c r="A203" s="107">
        <v>1</v>
      </c>
      <c r="B203" s="1324"/>
      <c r="C203" t="s">
        <v>445</v>
      </c>
      <c r="D203" s="113">
        <v>313240.8</v>
      </c>
    </row>
    <row r="204" spans="1:4">
      <c r="A204" s="107">
        <v>1</v>
      </c>
      <c r="B204" s="1324"/>
      <c r="C204" t="s">
        <v>446</v>
      </c>
      <c r="D204" s="113">
        <v>0</v>
      </c>
    </row>
    <row r="205" spans="1:4">
      <c r="A205" s="107">
        <v>1</v>
      </c>
      <c r="B205" s="1324"/>
      <c r="C205" t="s">
        <v>1253</v>
      </c>
      <c r="D205" s="113">
        <v>0</v>
      </c>
    </row>
    <row r="206" spans="1:4">
      <c r="A206" s="107">
        <v>1</v>
      </c>
      <c r="B206" s="1324"/>
      <c r="C206" t="s">
        <v>421</v>
      </c>
      <c r="D206" s="113">
        <v>478.1</v>
      </c>
    </row>
    <row r="207" spans="1:4">
      <c r="A207" s="107">
        <v>2</v>
      </c>
      <c r="B207" s="1323" t="s">
        <v>758</v>
      </c>
      <c r="C207" t="s">
        <v>444</v>
      </c>
      <c r="D207" s="113">
        <v>0</v>
      </c>
    </row>
    <row r="208" spans="1:4">
      <c r="A208" s="107">
        <v>2</v>
      </c>
      <c r="B208" s="1324"/>
      <c r="C208" t="s">
        <v>445</v>
      </c>
      <c r="D208" s="113">
        <v>0</v>
      </c>
    </row>
    <row r="209" spans="1:4">
      <c r="A209" s="107">
        <v>2</v>
      </c>
      <c r="B209" s="1324"/>
      <c r="C209" t="s">
        <v>446</v>
      </c>
      <c r="D209" s="113">
        <v>103343.5</v>
      </c>
    </row>
    <row r="210" spans="1:4">
      <c r="A210" s="107">
        <v>2</v>
      </c>
      <c r="B210" s="1324"/>
      <c r="C210" t="s">
        <v>1253</v>
      </c>
      <c r="D210" s="113">
        <v>0</v>
      </c>
    </row>
    <row r="211" spans="1:4">
      <c r="A211" s="107">
        <v>2</v>
      </c>
      <c r="B211" s="1324"/>
      <c r="C211" t="s">
        <v>421</v>
      </c>
      <c r="D211" s="113">
        <v>0</v>
      </c>
    </row>
    <row r="212" spans="1:4">
      <c r="A212" s="107">
        <v>2</v>
      </c>
      <c r="B212" s="1324" t="s">
        <v>1512</v>
      </c>
      <c r="C212" t="s">
        <v>444</v>
      </c>
      <c r="D212" s="113">
        <v>0</v>
      </c>
    </row>
    <row r="213" spans="1:4">
      <c r="A213" s="107">
        <v>2</v>
      </c>
      <c r="B213" s="1324"/>
      <c r="C213" t="s">
        <v>445</v>
      </c>
      <c r="D213" s="113">
        <v>0</v>
      </c>
    </row>
    <row r="214" spans="1:4">
      <c r="A214" s="107">
        <v>2</v>
      </c>
      <c r="B214" s="1324"/>
      <c r="C214" t="s">
        <v>446</v>
      </c>
      <c r="D214" s="113">
        <v>6552.6</v>
      </c>
    </row>
    <row r="215" spans="1:4">
      <c r="A215" s="107">
        <v>2</v>
      </c>
      <c r="B215" s="1324"/>
      <c r="C215" t="s">
        <v>1253</v>
      </c>
      <c r="D215" s="113">
        <v>0</v>
      </c>
    </row>
    <row r="216" spans="1:4">
      <c r="A216" s="107">
        <v>2</v>
      </c>
      <c r="B216" s="1324"/>
      <c r="C216" t="s">
        <v>421</v>
      </c>
      <c r="D216" s="113">
        <v>0</v>
      </c>
    </row>
    <row r="217" spans="1:4">
      <c r="A217" s="107">
        <v>2</v>
      </c>
      <c r="B217" s="1324" t="s">
        <v>1513</v>
      </c>
      <c r="C217" t="s">
        <v>444</v>
      </c>
      <c r="D217" s="113">
        <v>0</v>
      </c>
    </row>
    <row r="218" spans="1:4">
      <c r="A218" s="107">
        <v>2</v>
      </c>
      <c r="B218" s="1324"/>
      <c r="C218" t="s">
        <v>445</v>
      </c>
      <c r="D218" s="113">
        <v>0</v>
      </c>
    </row>
    <row r="219" spans="1:4">
      <c r="A219" s="107">
        <v>2</v>
      </c>
      <c r="B219" s="1324"/>
      <c r="C219" t="s">
        <v>446</v>
      </c>
      <c r="D219" s="113">
        <v>15314.7</v>
      </c>
    </row>
    <row r="220" spans="1:4">
      <c r="A220" s="107">
        <v>2</v>
      </c>
      <c r="B220" s="1324"/>
      <c r="C220" t="s">
        <v>1253</v>
      </c>
      <c r="D220" s="113">
        <v>0</v>
      </c>
    </row>
    <row r="221" spans="1:4">
      <c r="A221" s="107">
        <v>2</v>
      </c>
      <c r="B221" s="1324"/>
      <c r="C221" t="s">
        <v>421</v>
      </c>
      <c r="D221" s="113">
        <v>0</v>
      </c>
    </row>
    <row r="222" spans="1:4">
      <c r="A222" s="107">
        <v>2</v>
      </c>
      <c r="B222" s="1324" t="s">
        <v>1514</v>
      </c>
      <c r="C222" t="s">
        <v>444</v>
      </c>
      <c r="D222" s="113">
        <v>0</v>
      </c>
    </row>
    <row r="223" spans="1:4">
      <c r="A223" s="107">
        <v>2</v>
      </c>
      <c r="B223" s="1324"/>
      <c r="C223" t="s">
        <v>445</v>
      </c>
      <c r="D223" s="113">
        <v>0</v>
      </c>
    </row>
    <row r="224" spans="1:4">
      <c r="A224" s="107">
        <v>2</v>
      </c>
      <c r="B224" s="1324"/>
      <c r="C224" t="s">
        <v>446</v>
      </c>
      <c r="D224" s="113">
        <v>35429.800000000003</v>
      </c>
    </row>
    <row r="225" spans="1:4">
      <c r="A225" s="107">
        <v>2</v>
      </c>
      <c r="B225" s="1324"/>
      <c r="C225" t="s">
        <v>1253</v>
      </c>
      <c r="D225" s="113">
        <v>0</v>
      </c>
    </row>
    <row r="226" spans="1:4">
      <c r="A226" s="107">
        <v>2</v>
      </c>
      <c r="B226" s="1324"/>
      <c r="C226" t="s">
        <v>421</v>
      </c>
      <c r="D226" s="113">
        <v>0</v>
      </c>
    </row>
    <row r="227" spans="1:4">
      <c r="A227" s="107">
        <v>2</v>
      </c>
      <c r="B227" s="1324" t="s">
        <v>1515</v>
      </c>
      <c r="C227" t="s">
        <v>444</v>
      </c>
      <c r="D227" s="113">
        <v>0</v>
      </c>
    </row>
    <row r="228" spans="1:4">
      <c r="A228" s="107">
        <v>2</v>
      </c>
      <c r="B228" s="1324"/>
      <c r="C228" t="s">
        <v>445</v>
      </c>
      <c r="D228" s="113">
        <v>0</v>
      </c>
    </row>
    <row r="229" spans="1:4">
      <c r="A229" s="107">
        <v>2</v>
      </c>
      <c r="B229" s="1324"/>
      <c r="C229" t="s">
        <v>446</v>
      </c>
      <c r="D229" s="113">
        <v>156530.79999999999</v>
      </c>
    </row>
    <row r="230" spans="1:4">
      <c r="A230" s="107">
        <v>2</v>
      </c>
      <c r="B230" s="1324"/>
      <c r="C230" t="s">
        <v>1253</v>
      </c>
      <c r="D230" s="113">
        <v>0</v>
      </c>
    </row>
    <row r="231" spans="1:4">
      <c r="A231" s="107">
        <v>2</v>
      </c>
      <c r="B231" s="1325"/>
      <c r="C231" t="s">
        <v>421</v>
      </c>
      <c r="D231" s="113">
        <v>0</v>
      </c>
    </row>
    <row r="232" spans="1:4" s="645" customFormat="1">
      <c r="A232" s="644">
        <v>2</v>
      </c>
      <c r="B232" s="1323" t="s">
        <v>759</v>
      </c>
      <c r="C232" s="645" t="s">
        <v>444</v>
      </c>
      <c r="D232" s="113">
        <v>0</v>
      </c>
    </row>
    <row r="233" spans="1:4">
      <c r="A233" s="107">
        <v>2</v>
      </c>
      <c r="B233" s="1324"/>
      <c r="C233" t="s">
        <v>445</v>
      </c>
      <c r="D233" s="113">
        <v>0</v>
      </c>
    </row>
    <row r="234" spans="1:4">
      <c r="A234" s="107">
        <v>2</v>
      </c>
      <c r="B234" s="1324"/>
      <c r="C234" t="s">
        <v>446</v>
      </c>
      <c r="D234" s="113">
        <v>60641</v>
      </c>
    </row>
    <row r="235" spans="1:4">
      <c r="A235" s="107">
        <v>2</v>
      </c>
      <c r="B235" s="1324"/>
      <c r="C235" t="s">
        <v>1253</v>
      </c>
      <c r="D235" s="113">
        <v>0</v>
      </c>
    </row>
    <row r="236" spans="1:4">
      <c r="A236" s="107">
        <v>2</v>
      </c>
      <c r="B236" s="1324"/>
      <c r="C236" t="s">
        <v>421</v>
      </c>
      <c r="D236" s="113">
        <v>0</v>
      </c>
    </row>
    <row r="237" spans="1:4">
      <c r="A237" s="107">
        <v>1</v>
      </c>
      <c r="B237" s="1323" t="s">
        <v>760</v>
      </c>
      <c r="C237" t="s">
        <v>444</v>
      </c>
      <c r="D237" s="113">
        <v>587915.5</v>
      </c>
    </row>
    <row r="238" spans="1:4">
      <c r="A238" s="107">
        <v>1</v>
      </c>
      <c r="B238" s="1324"/>
      <c r="C238" t="s">
        <v>445</v>
      </c>
      <c r="D238" s="113">
        <v>14024.7</v>
      </c>
    </row>
    <row r="239" spans="1:4">
      <c r="A239" s="107">
        <v>1</v>
      </c>
      <c r="B239" s="1324"/>
      <c r="C239" t="s">
        <v>446</v>
      </c>
      <c r="D239" s="113">
        <v>0</v>
      </c>
    </row>
    <row r="240" spans="1:4">
      <c r="A240" s="107">
        <v>1</v>
      </c>
      <c r="B240" s="1324"/>
      <c r="C240" t="s">
        <v>1253</v>
      </c>
      <c r="D240" s="113">
        <v>0</v>
      </c>
    </row>
    <row r="241" spans="1:4">
      <c r="A241" s="107">
        <v>1</v>
      </c>
      <c r="B241" s="1324"/>
      <c r="C241" t="s">
        <v>421</v>
      </c>
      <c r="D241" s="113">
        <v>0</v>
      </c>
    </row>
    <row r="242" spans="1:4">
      <c r="A242" s="107">
        <v>1</v>
      </c>
      <c r="B242" s="1323" t="s">
        <v>761</v>
      </c>
      <c r="C242" t="s">
        <v>444</v>
      </c>
      <c r="D242" s="113">
        <v>410229.1</v>
      </c>
    </row>
    <row r="243" spans="1:4">
      <c r="A243" s="107">
        <v>1</v>
      </c>
      <c r="B243" s="1324"/>
      <c r="C243" t="s">
        <v>445</v>
      </c>
      <c r="D243" s="113">
        <v>0</v>
      </c>
    </row>
    <row r="244" spans="1:4">
      <c r="A244" s="107">
        <v>1</v>
      </c>
      <c r="B244" s="1324"/>
      <c r="C244" t="s">
        <v>446</v>
      </c>
      <c r="D244" s="113">
        <v>134611.4</v>
      </c>
    </row>
    <row r="245" spans="1:4">
      <c r="A245" s="107">
        <v>1</v>
      </c>
      <c r="B245" s="1324"/>
      <c r="C245" t="s">
        <v>1253</v>
      </c>
      <c r="D245" s="113">
        <v>0</v>
      </c>
    </row>
    <row r="246" spans="1:4">
      <c r="A246" s="107">
        <v>1</v>
      </c>
      <c r="B246" s="1324"/>
      <c r="C246" t="s">
        <v>421</v>
      </c>
      <c r="D246" s="113">
        <v>3063.4</v>
      </c>
    </row>
    <row r="247" spans="1:4">
      <c r="A247" s="107">
        <v>4</v>
      </c>
      <c r="B247" s="1323" t="s">
        <v>762</v>
      </c>
      <c r="C247" t="s">
        <v>444</v>
      </c>
      <c r="D247" s="113">
        <v>344610.5</v>
      </c>
    </row>
    <row r="248" spans="1:4">
      <c r="A248" s="107">
        <v>4</v>
      </c>
      <c r="B248" s="1324"/>
      <c r="C248" t="s">
        <v>445</v>
      </c>
      <c r="D248" s="113">
        <v>0</v>
      </c>
    </row>
    <row r="249" spans="1:4">
      <c r="A249" s="107">
        <v>4</v>
      </c>
      <c r="B249" s="1324"/>
      <c r="C249" t="s">
        <v>446</v>
      </c>
      <c r="D249" s="113">
        <v>3239</v>
      </c>
    </row>
    <row r="250" spans="1:4">
      <c r="A250" s="107">
        <v>4</v>
      </c>
      <c r="B250" s="1324"/>
      <c r="C250" t="s">
        <v>1253</v>
      </c>
      <c r="D250" s="113">
        <v>0</v>
      </c>
    </row>
    <row r="251" spans="1:4">
      <c r="A251" s="107">
        <v>4</v>
      </c>
      <c r="B251" s="1325"/>
      <c r="C251" t="s">
        <v>421</v>
      </c>
      <c r="D251" s="113">
        <v>0</v>
      </c>
    </row>
    <row r="252" spans="1:4">
      <c r="A252" s="107">
        <v>1</v>
      </c>
      <c r="B252" s="1323" t="s">
        <v>763</v>
      </c>
      <c r="C252" t="s">
        <v>444</v>
      </c>
      <c r="D252" s="113">
        <v>332070.59999999998</v>
      </c>
    </row>
    <row r="253" spans="1:4">
      <c r="A253" s="107">
        <v>1</v>
      </c>
      <c r="B253" s="1324"/>
      <c r="C253" t="s">
        <v>445</v>
      </c>
      <c r="D253" s="113">
        <v>0</v>
      </c>
    </row>
    <row r="254" spans="1:4">
      <c r="A254" s="107">
        <v>1</v>
      </c>
      <c r="B254" s="1324"/>
      <c r="C254" t="s">
        <v>446</v>
      </c>
      <c r="D254" s="113">
        <v>5921.5</v>
      </c>
    </row>
    <row r="255" spans="1:4">
      <c r="A255" s="107">
        <v>1</v>
      </c>
      <c r="B255" s="1324"/>
      <c r="C255" t="s">
        <v>1253</v>
      </c>
      <c r="D255" s="113">
        <v>0</v>
      </c>
    </row>
    <row r="256" spans="1:4">
      <c r="A256" s="107">
        <v>1</v>
      </c>
      <c r="B256" s="1324"/>
      <c r="C256" t="s">
        <v>421</v>
      </c>
      <c r="D256" s="113">
        <v>0</v>
      </c>
    </row>
    <row r="257" spans="1:4">
      <c r="A257" s="107">
        <v>1</v>
      </c>
      <c r="B257" s="1323" t="s">
        <v>764</v>
      </c>
      <c r="C257" t="s">
        <v>444</v>
      </c>
      <c r="D257" s="113">
        <v>1096763.7</v>
      </c>
    </row>
    <row r="258" spans="1:4">
      <c r="A258" s="107">
        <v>1</v>
      </c>
      <c r="B258" s="1324"/>
      <c r="C258" t="s">
        <v>445</v>
      </c>
      <c r="D258" s="113">
        <v>200301.6</v>
      </c>
    </row>
    <row r="259" spans="1:4">
      <c r="A259" s="107">
        <v>1</v>
      </c>
      <c r="B259" s="1324"/>
      <c r="C259" t="s">
        <v>446</v>
      </c>
      <c r="D259" s="113">
        <v>16967.400000000001</v>
      </c>
    </row>
    <row r="260" spans="1:4">
      <c r="A260" s="107">
        <v>1</v>
      </c>
      <c r="B260" s="1324"/>
      <c r="C260" t="s">
        <v>1253</v>
      </c>
      <c r="D260" s="113">
        <v>0</v>
      </c>
    </row>
    <row r="261" spans="1:4">
      <c r="A261" s="107">
        <v>1</v>
      </c>
      <c r="B261" s="1324"/>
      <c r="C261" t="s">
        <v>421</v>
      </c>
      <c r="D261" s="113">
        <v>0</v>
      </c>
    </row>
    <row r="262" spans="1:4">
      <c r="A262" s="107">
        <v>4</v>
      </c>
      <c r="B262" s="1323" t="s">
        <v>765</v>
      </c>
      <c r="C262" t="s">
        <v>444</v>
      </c>
      <c r="D262" s="113">
        <v>393901.7</v>
      </c>
    </row>
    <row r="263" spans="1:4">
      <c r="A263" s="107">
        <v>4</v>
      </c>
      <c r="B263" s="1324"/>
      <c r="C263" t="s">
        <v>445</v>
      </c>
      <c r="D263" s="113">
        <v>0</v>
      </c>
    </row>
    <row r="264" spans="1:4">
      <c r="A264" s="107">
        <v>4</v>
      </c>
      <c r="B264" s="1324"/>
      <c r="C264" t="s">
        <v>446</v>
      </c>
      <c r="D264" s="113">
        <v>177886.6</v>
      </c>
    </row>
    <row r="265" spans="1:4">
      <c r="A265" s="107">
        <v>4</v>
      </c>
      <c r="B265" s="1324"/>
      <c r="C265" t="s">
        <v>1253</v>
      </c>
      <c r="D265" s="113">
        <v>0</v>
      </c>
    </row>
    <row r="266" spans="1:4">
      <c r="A266" s="107">
        <v>4</v>
      </c>
      <c r="B266" s="1325"/>
      <c r="C266" t="s">
        <v>421</v>
      </c>
      <c r="D266" s="113">
        <v>2492</v>
      </c>
    </row>
    <row r="267" spans="1:4">
      <c r="A267" s="107">
        <v>1</v>
      </c>
      <c r="B267" s="1323" t="s">
        <v>766</v>
      </c>
      <c r="C267" t="s">
        <v>444</v>
      </c>
      <c r="D267" s="113">
        <v>1532414</v>
      </c>
    </row>
    <row r="268" spans="1:4">
      <c r="A268" s="107">
        <v>1</v>
      </c>
      <c r="B268" s="1324"/>
      <c r="C268" t="s">
        <v>445</v>
      </c>
      <c r="D268" s="113">
        <v>750463.7</v>
      </c>
    </row>
    <row r="269" spans="1:4">
      <c r="A269" s="107">
        <v>1</v>
      </c>
      <c r="B269" s="1324"/>
      <c r="C269" t="s">
        <v>446</v>
      </c>
      <c r="D269" s="113">
        <v>189362.4</v>
      </c>
    </row>
    <row r="270" spans="1:4">
      <c r="A270" s="107">
        <v>1</v>
      </c>
      <c r="B270" s="1324"/>
      <c r="C270" t="s">
        <v>1253</v>
      </c>
      <c r="D270" s="113">
        <v>0</v>
      </c>
    </row>
    <row r="271" spans="1:4">
      <c r="A271" s="107">
        <v>1</v>
      </c>
      <c r="B271" s="1324"/>
      <c r="C271" t="s">
        <v>421</v>
      </c>
      <c r="D271" s="113">
        <v>44271.8</v>
      </c>
    </row>
    <row r="272" spans="1:4">
      <c r="A272" s="107">
        <v>1</v>
      </c>
      <c r="B272" s="1323" t="s">
        <v>767</v>
      </c>
      <c r="C272" t="s">
        <v>444</v>
      </c>
      <c r="D272" s="113">
        <v>667370</v>
      </c>
    </row>
    <row r="273" spans="1:4">
      <c r="A273" s="107">
        <v>1</v>
      </c>
      <c r="B273" s="1324"/>
      <c r="C273" t="s">
        <v>445</v>
      </c>
      <c r="D273" s="113">
        <v>34109.699999999997</v>
      </c>
    </row>
    <row r="274" spans="1:4">
      <c r="A274" s="107">
        <v>1</v>
      </c>
      <c r="B274" s="1324"/>
      <c r="C274" t="s">
        <v>446</v>
      </c>
      <c r="D274" s="113">
        <v>79317.5</v>
      </c>
    </row>
    <row r="275" spans="1:4">
      <c r="A275" s="107">
        <v>1</v>
      </c>
      <c r="B275" s="1324"/>
      <c r="C275" t="s">
        <v>1253</v>
      </c>
      <c r="D275" s="113">
        <v>0</v>
      </c>
    </row>
    <row r="276" spans="1:4">
      <c r="A276" s="107">
        <v>1</v>
      </c>
      <c r="B276" s="1324"/>
      <c r="C276" t="s">
        <v>421</v>
      </c>
      <c r="D276" s="113">
        <v>0</v>
      </c>
    </row>
    <row r="277" spans="1:4">
      <c r="A277" s="107">
        <v>3</v>
      </c>
      <c r="B277" s="1323" t="s">
        <v>768</v>
      </c>
      <c r="C277" t="s">
        <v>444</v>
      </c>
      <c r="D277" s="113">
        <v>116805</v>
      </c>
    </row>
    <row r="278" spans="1:4">
      <c r="A278" s="107">
        <v>3</v>
      </c>
      <c r="B278" s="1324"/>
      <c r="C278" t="s">
        <v>445</v>
      </c>
      <c r="D278" s="113">
        <v>0</v>
      </c>
    </row>
    <row r="279" spans="1:4">
      <c r="A279" s="107">
        <v>3</v>
      </c>
      <c r="B279" s="1324"/>
      <c r="C279" t="s">
        <v>446</v>
      </c>
      <c r="D279" s="113">
        <v>0</v>
      </c>
    </row>
    <row r="280" spans="1:4">
      <c r="A280" s="107">
        <v>3</v>
      </c>
      <c r="B280" s="1324"/>
      <c r="C280" t="s">
        <v>1253</v>
      </c>
      <c r="D280" s="113">
        <v>0</v>
      </c>
    </row>
    <row r="281" spans="1:4">
      <c r="A281" s="107">
        <v>3</v>
      </c>
      <c r="B281" s="1325"/>
      <c r="C281" t="s">
        <v>421</v>
      </c>
      <c r="D281" s="113">
        <v>0</v>
      </c>
    </row>
    <row r="282" spans="1:4">
      <c r="A282" s="107">
        <v>4</v>
      </c>
      <c r="B282" s="1323" t="s">
        <v>769</v>
      </c>
      <c r="C282" t="s">
        <v>444</v>
      </c>
      <c r="D282" s="113">
        <v>703621.5</v>
      </c>
    </row>
    <row r="283" spans="1:4">
      <c r="A283" s="107">
        <v>4</v>
      </c>
      <c r="B283" s="1324"/>
      <c r="C283" t="s">
        <v>445</v>
      </c>
      <c r="D283" s="113">
        <v>0</v>
      </c>
    </row>
    <row r="284" spans="1:4">
      <c r="A284" s="107">
        <v>4</v>
      </c>
      <c r="B284" s="1324"/>
      <c r="C284" t="s">
        <v>446</v>
      </c>
      <c r="D284" s="113">
        <v>0</v>
      </c>
    </row>
    <row r="285" spans="1:4">
      <c r="A285" s="107">
        <v>4</v>
      </c>
      <c r="B285" s="1324"/>
      <c r="C285" t="s">
        <v>1253</v>
      </c>
      <c r="D285" s="113">
        <v>0</v>
      </c>
    </row>
    <row r="286" spans="1:4">
      <c r="A286" s="107">
        <v>4</v>
      </c>
      <c r="B286" s="1325"/>
      <c r="C286" t="s">
        <v>421</v>
      </c>
      <c r="D286" s="113">
        <v>0</v>
      </c>
    </row>
    <row r="287" spans="1:4">
      <c r="A287" s="107">
        <v>11</v>
      </c>
      <c r="B287" s="1323" t="s">
        <v>770</v>
      </c>
      <c r="C287" t="s">
        <v>444</v>
      </c>
      <c r="D287" s="113">
        <v>779336.3</v>
      </c>
    </row>
    <row r="288" spans="1:4">
      <c r="A288" s="107">
        <v>11</v>
      </c>
      <c r="B288" s="1324"/>
      <c r="C288" t="s">
        <v>445</v>
      </c>
      <c r="D288" s="113">
        <v>584995.30000000005</v>
      </c>
    </row>
    <row r="289" spans="1:4">
      <c r="A289" s="107">
        <v>11</v>
      </c>
      <c r="B289" s="1324"/>
      <c r="C289" t="s">
        <v>446</v>
      </c>
      <c r="D289" s="113">
        <v>22738.9</v>
      </c>
    </row>
    <row r="290" spans="1:4">
      <c r="A290" s="107">
        <v>11</v>
      </c>
      <c r="B290" s="1324"/>
      <c r="C290" t="s">
        <v>1253</v>
      </c>
      <c r="D290" s="113">
        <v>0</v>
      </c>
    </row>
    <row r="291" spans="1:4">
      <c r="A291" s="107">
        <v>11</v>
      </c>
      <c r="B291" s="1324"/>
      <c r="C291" t="s">
        <v>421</v>
      </c>
      <c r="D291" s="113">
        <v>0</v>
      </c>
    </row>
    <row r="292" spans="1:4">
      <c r="A292" s="107">
        <v>3</v>
      </c>
      <c r="B292" s="1323" t="s">
        <v>771</v>
      </c>
      <c r="C292" t="s">
        <v>444</v>
      </c>
      <c r="D292" s="113">
        <v>134998</v>
      </c>
    </row>
    <row r="293" spans="1:4">
      <c r="A293" s="107">
        <v>3</v>
      </c>
      <c r="B293" s="1324"/>
      <c r="C293" t="s">
        <v>445</v>
      </c>
      <c r="D293" s="113">
        <v>0</v>
      </c>
    </row>
    <row r="294" spans="1:4">
      <c r="A294" s="107">
        <v>3</v>
      </c>
      <c r="B294" s="1324"/>
      <c r="C294" t="s">
        <v>446</v>
      </c>
      <c r="D294" s="113">
        <v>0</v>
      </c>
    </row>
    <row r="295" spans="1:4">
      <c r="A295" s="107">
        <v>3</v>
      </c>
      <c r="B295" s="1324"/>
      <c r="C295" t="s">
        <v>1253</v>
      </c>
      <c r="D295" s="113">
        <v>0</v>
      </c>
    </row>
    <row r="296" spans="1:4">
      <c r="A296" s="107">
        <v>3</v>
      </c>
      <c r="B296" s="1325"/>
      <c r="C296" t="s">
        <v>421</v>
      </c>
      <c r="D296" s="113">
        <v>0</v>
      </c>
    </row>
    <row r="297" spans="1:4">
      <c r="A297" s="107">
        <v>2</v>
      </c>
      <c r="B297" s="1323" t="s">
        <v>772</v>
      </c>
      <c r="C297" t="s">
        <v>444</v>
      </c>
      <c r="D297" s="113">
        <v>267127.09999999998</v>
      </c>
    </row>
    <row r="298" spans="1:4">
      <c r="A298" s="107">
        <v>2</v>
      </c>
      <c r="B298" s="1324"/>
      <c r="C298" t="s">
        <v>445</v>
      </c>
      <c r="D298" s="113">
        <v>0</v>
      </c>
    </row>
    <row r="299" spans="1:4">
      <c r="A299" s="107">
        <v>2</v>
      </c>
      <c r="B299" s="1324"/>
      <c r="C299" t="s">
        <v>446</v>
      </c>
      <c r="D299" s="113">
        <v>215886.1</v>
      </c>
    </row>
    <row r="300" spans="1:4">
      <c r="A300" s="107">
        <v>2</v>
      </c>
      <c r="B300" s="1324"/>
      <c r="C300" t="s">
        <v>1253</v>
      </c>
      <c r="D300" s="113">
        <v>0</v>
      </c>
    </row>
    <row r="301" spans="1:4">
      <c r="A301" s="107">
        <v>2</v>
      </c>
      <c r="B301" s="1324"/>
      <c r="C301" t="s">
        <v>421</v>
      </c>
      <c r="D301" s="113">
        <v>0</v>
      </c>
    </row>
    <row r="302" spans="1:4">
      <c r="A302" s="107">
        <v>1</v>
      </c>
      <c r="B302" s="1323" t="s">
        <v>773</v>
      </c>
      <c r="C302" t="s">
        <v>444</v>
      </c>
      <c r="D302" s="113">
        <v>254037.2</v>
      </c>
    </row>
    <row r="303" spans="1:4">
      <c r="A303" s="107">
        <v>1</v>
      </c>
      <c r="B303" s="1324"/>
      <c r="C303" t="s">
        <v>445</v>
      </c>
      <c r="D303" s="113">
        <v>0</v>
      </c>
    </row>
    <row r="304" spans="1:4">
      <c r="A304" s="107">
        <v>1</v>
      </c>
      <c r="B304" s="1324"/>
      <c r="C304" t="s">
        <v>446</v>
      </c>
      <c r="D304" s="113">
        <v>60019.7</v>
      </c>
    </row>
    <row r="305" spans="1:4">
      <c r="A305" s="107">
        <v>1</v>
      </c>
      <c r="B305" s="1324"/>
      <c r="C305" t="s">
        <v>1253</v>
      </c>
      <c r="D305" s="113">
        <v>0</v>
      </c>
    </row>
    <row r="306" spans="1:4">
      <c r="A306" s="107">
        <v>1</v>
      </c>
      <c r="B306" s="1324"/>
      <c r="C306" t="s">
        <v>421</v>
      </c>
      <c r="D306" s="113">
        <v>0</v>
      </c>
    </row>
    <row r="307" spans="1:4">
      <c r="A307" s="107">
        <v>1</v>
      </c>
      <c r="B307" s="1323" t="s">
        <v>774</v>
      </c>
      <c r="C307" t="s">
        <v>444</v>
      </c>
      <c r="D307" s="113">
        <v>68954.5</v>
      </c>
    </row>
    <row r="308" spans="1:4">
      <c r="A308" s="107">
        <v>1</v>
      </c>
      <c r="B308" s="1324"/>
      <c r="C308" t="s">
        <v>445</v>
      </c>
      <c r="D308" s="113">
        <v>0</v>
      </c>
    </row>
    <row r="309" spans="1:4">
      <c r="A309" s="107">
        <v>1</v>
      </c>
      <c r="B309" s="1324"/>
      <c r="C309" t="s">
        <v>446</v>
      </c>
      <c r="D309" s="113">
        <v>0</v>
      </c>
    </row>
    <row r="310" spans="1:4">
      <c r="A310" s="107">
        <v>1</v>
      </c>
      <c r="B310" s="1324"/>
      <c r="C310" t="s">
        <v>1253</v>
      </c>
      <c r="D310" s="113">
        <v>0</v>
      </c>
    </row>
    <row r="311" spans="1:4">
      <c r="A311" s="107">
        <v>1</v>
      </c>
      <c r="B311" s="1325"/>
      <c r="C311" t="s">
        <v>421</v>
      </c>
      <c r="D311" s="113">
        <v>0</v>
      </c>
    </row>
    <row r="312" spans="1:4">
      <c r="A312" s="107">
        <v>1</v>
      </c>
      <c r="B312" s="1323" t="s">
        <v>775</v>
      </c>
      <c r="C312" t="s">
        <v>444</v>
      </c>
      <c r="D312" s="113">
        <v>840471.4</v>
      </c>
    </row>
    <row r="313" spans="1:4">
      <c r="A313" s="107">
        <v>1</v>
      </c>
      <c r="B313" s="1324"/>
      <c r="C313" t="s">
        <v>445</v>
      </c>
      <c r="D313" s="113">
        <v>13221.8</v>
      </c>
    </row>
    <row r="314" spans="1:4">
      <c r="A314" s="107">
        <v>1</v>
      </c>
      <c r="B314" s="1324"/>
      <c r="C314" t="s">
        <v>446</v>
      </c>
      <c r="D314" s="113">
        <v>7967</v>
      </c>
    </row>
    <row r="315" spans="1:4">
      <c r="A315" s="107">
        <v>1</v>
      </c>
      <c r="B315" s="1324"/>
      <c r="C315" t="s">
        <v>1253</v>
      </c>
      <c r="D315" s="113">
        <v>0</v>
      </c>
    </row>
    <row r="316" spans="1:4">
      <c r="A316" s="107">
        <v>1</v>
      </c>
      <c r="B316" s="1324"/>
      <c r="C316" t="s">
        <v>421</v>
      </c>
      <c r="D316" s="113">
        <v>2062</v>
      </c>
    </row>
    <row r="317" spans="1:4">
      <c r="A317" s="107">
        <v>1</v>
      </c>
      <c r="B317" s="1323" t="s">
        <v>776</v>
      </c>
      <c r="C317" t="s">
        <v>444</v>
      </c>
      <c r="D317" s="113">
        <v>174896.3</v>
      </c>
    </row>
    <row r="318" spans="1:4">
      <c r="A318" s="107">
        <v>1</v>
      </c>
      <c r="B318" s="1324"/>
      <c r="C318" t="s">
        <v>445</v>
      </c>
      <c r="D318" s="113">
        <v>104694</v>
      </c>
    </row>
    <row r="319" spans="1:4">
      <c r="A319" s="107">
        <v>1</v>
      </c>
      <c r="B319" s="1324"/>
      <c r="C319" t="s">
        <v>446</v>
      </c>
      <c r="D319" s="113">
        <v>0</v>
      </c>
    </row>
    <row r="320" spans="1:4">
      <c r="A320" s="107">
        <v>1</v>
      </c>
      <c r="B320" s="1324"/>
      <c r="C320" t="s">
        <v>1253</v>
      </c>
      <c r="D320" s="113">
        <v>0</v>
      </c>
    </row>
    <row r="321" spans="1:4">
      <c r="A321" s="107">
        <v>1</v>
      </c>
      <c r="B321" s="1324"/>
      <c r="C321" t="s">
        <v>421</v>
      </c>
      <c r="D321" s="113">
        <v>0</v>
      </c>
    </row>
    <row r="322" spans="1:4">
      <c r="A322" s="107">
        <v>2</v>
      </c>
      <c r="B322" s="1323" t="s">
        <v>779</v>
      </c>
      <c r="C322" t="s">
        <v>444</v>
      </c>
      <c r="D322" s="113">
        <v>0</v>
      </c>
    </row>
    <row r="323" spans="1:4">
      <c r="A323" s="107">
        <v>2</v>
      </c>
      <c r="B323" s="1324"/>
      <c r="C323" t="s">
        <v>445</v>
      </c>
      <c r="D323" s="113">
        <v>0</v>
      </c>
    </row>
    <row r="324" spans="1:4">
      <c r="A324" s="107">
        <v>2</v>
      </c>
      <c r="B324" s="1324"/>
      <c r="C324" t="s">
        <v>446</v>
      </c>
      <c r="D324" s="113">
        <v>124546.7</v>
      </c>
    </row>
    <row r="325" spans="1:4">
      <c r="A325" s="107">
        <v>2</v>
      </c>
      <c r="B325" s="1324"/>
      <c r="C325" t="s">
        <v>1253</v>
      </c>
      <c r="D325" s="113">
        <v>0</v>
      </c>
    </row>
    <row r="326" spans="1:4">
      <c r="A326" s="107">
        <v>2</v>
      </c>
      <c r="B326" s="1325"/>
      <c r="C326" t="s">
        <v>421</v>
      </c>
      <c r="D326" s="113">
        <v>0</v>
      </c>
    </row>
    <row r="327" spans="1:4">
      <c r="A327" s="107">
        <v>2</v>
      </c>
      <c r="B327" s="1323" t="s">
        <v>2115</v>
      </c>
      <c r="C327" t="s">
        <v>444</v>
      </c>
      <c r="D327" s="113">
        <v>0</v>
      </c>
    </row>
    <row r="328" spans="1:4">
      <c r="A328" s="107">
        <v>2</v>
      </c>
      <c r="B328" s="1324"/>
      <c r="C328" t="s">
        <v>445</v>
      </c>
      <c r="D328" s="113">
        <v>0</v>
      </c>
    </row>
    <row r="329" spans="1:4">
      <c r="A329" s="107">
        <v>2</v>
      </c>
      <c r="B329" s="1324"/>
      <c r="C329" t="s">
        <v>446</v>
      </c>
      <c r="D329" s="113">
        <v>121673.3</v>
      </c>
    </row>
    <row r="330" spans="1:4">
      <c r="A330" s="107">
        <v>2</v>
      </c>
      <c r="B330" s="1324"/>
      <c r="C330" t="s">
        <v>1253</v>
      </c>
      <c r="D330" s="113">
        <v>0</v>
      </c>
    </row>
    <row r="331" spans="1:4">
      <c r="A331" s="107">
        <v>2</v>
      </c>
      <c r="B331" s="1324"/>
      <c r="C331" t="s">
        <v>421</v>
      </c>
      <c r="D331" s="113">
        <v>0</v>
      </c>
    </row>
    <row r="332" spans="1:4">
      <c r="A332" s="107">
        <v>2</v>
      </c>
      <c r="B332" s="1323" t="s">
        <v>2116</v>
      </c>
      <c r="C332" t="s">
        <v>444</v>
      </c>
      <c r="D332" s="113">
        <v>0</v>
      </c>
    </row>
    <row r="333" spans="1:4">
      <c r="A333" s="107">
        <v>2</v>
      </c>
      <c r="B333" s="1324"/>
      <c r="C333" t="s">
        <v>445</v>
      </c>
      <c r="D333" s="113">
        <v>0</v>
      </c>
    </row>
    <row r="334" spans="1:4">
      <c r="A334" s="107">
        <v>2</v>
      </c>
      <c r="B334" s="1324"/>
      <c r="C334" t="s">
        <v>446</v>
      </c>
      <c r="D334" s="113">
        <v>26380.799999999999</v>
      </c>
    </row>
    <row r="335" spans="1:4">
      <c r="A335" s="107">
        <v>2</v>
      </c>
      <c r="B335" s="1324"/>
      <c r="C335" t="s">
        <v>1253</v>
      </c>
      <c r="D335" s="113">
        <v>0</v>
      </c>
    </row>
    <row r="336" spans="1:4">
      <c r="A336" s="107">
        <v>2</v>
      </c>
      <c r="B336" s="1324"/>
      <c r="C336" t="s">
        <v>421</v>
      </c>
      <c r="D336" s="113">
        <v>0</v>
      </c>
    </row>
    <row r="337" spans="1:4">
      <c r="A337" s="107">
        <v>2</v>
      </c>
      <c r="B337" s="1323" t="s">
        <v>1517</v>
      </c>
      <c r="C337" t="s">
        <v>444</v>
      </c>
      <c r="D337" s="113">
        <v>0</v>
      </c>
    </row>
    <row r="338" spans="1:4">
      <c r="A338" s="107">
        <v>2</v>
      </c>
      <c r="B338" s="1324"/>
      <c r="C338" t="s">
        <v>445</v>
      </c>
      <c r="D338" s="113">
        <v>35632.300000000003</v>
      </c>
    </row>
    <row r="339" spans="1:4">
      <c r="A339" s="107">
        <v>2</v>
      </c>
      <c r="B339" s="1324"/>
      <c r="C339" t="s">
        <v>446</v>
      </c>
      <c r="D339" s="113">
        <v>0</v>
      </c>
    </row>
    <row r="340" spans="1:4">
      <c r="A340" s="107">
        <v>2</v>
      </c>
      <c r="B340" s="1324"/>
      <c r="C340" t="s">
        <v>1253</v>
      </c>
      <c r="D340" s="113">
        <v>0</v>
      </c>
    </row>
    <row r="341" spans="1:4">
      <c r="A341" s="107">
        <v>2</v>
      </c>
      <c r="B341" s="1325"/>
      <c r="C341" t="s">
        <v>421</v>
      </c>
      <c r="D341" s="113">
        <v>0</v>
      </c>
    </row>
    <row r="342" spans="1:4">
      <c r="A342" s="107">
        <v>2</v>
      </c>
      <c r="B342" s="1323" t="s">
        <v>1518</v>
      </c>
      <c r="C342" t="s">
        <v>444</v>
      </c>
      <c r="D342" s="113">
        <v>0</v>
      </c>
    </row>
    <row r="343" spans="1:4">
      <c r="A343" s="107">
        <v>2</v>
      </c>
      <c r="B343" s="1324"/>
      <c r="C343" t="s">
        <v>445</v>
      </c>
      <c r="D343" s="113">
        <v>0</v>
      </c>
    </row>
    <row r="344" spans="1:4">
      <c r="A344" s="107">
        <v>2</v>
      </c>
      <c r="B344" s="1324"/>
      <c r="C344" t="s">
        <v>446</v>
      </c>
      <c r="D344" s="113">
        <v>209354.1</v>
      </c>
    </row>
    <row r="345" spans="1:4">
      <c r="A345" s="107">
        <v>2</v>
      </c>
      <c r="B345" s="1324"/>
      <c r="C345" t="s">
        <v>1253</v>
      </c>
      <c r="D345" s="113">
        <v>0</v>
      </c>
    </row>
    <row r="346" spans="1:4">
      <c r="A346" s="107">
        <v>2</v>
      </c>
      <c r="B346" s="1325"/>
      <c r="C346" t="s">
        <v>421</v>
      </c>
      <c r="D346" s="113">
        <v>0</v>
      </c>
    </row>
    <row r="347" spans="1:4">
      <c r="A347" s="107">
        <v>2</v>
      </c>
      <c r="B347" s="1323" t="s">
        <v>1519</v>
      </c>
      <c r="C347" t="s">
        <v>444</v>
      </c>
      <c r="D347" s="113">
        <v>0</v>
      </c>
    </row>
    <row r="348" spans="1:4">
      <c r="A348" s="107">
        <v>2</v>
      </c>
      <c r="B348" s="1324"/>
      <c r="C348" t="s">
        <v>445</v>
      </c>
      <c r="D348" s="113">
        <v>0</v>
      </c>
    </row>
    <row r="349" spans="1:4">
      <c r="A349" s="107">
        <v>2</v>
      </c>
      <c r="B349" s="1324"/>
      <c r="C349" t="s">
        <v>446</v>
      </c>
      <c r="D349" s="113">
        <v>22406.5</v>
      </c>
    </row>
    <row r="350" spans="1:4">
      <c r="A350" s="107">
        <v>2</v>
      </c>
      <c r="B350" s="1324"/>
      <c r="C350" t="s">
        <v>1253</v>
      </c>
      <c r="D350" s="113">
        <v>0</v>
      </c>
    </row>
    <row r="351" spans="1:4">
      <c r="A351" s="107">
        <v>2</v>
      </c>
      <c r="B351" s="1325"/>
      <c r="C351" t="s">
        <v>421</v>
      </c>
      <c r="D351" s="113">
        <v>0</v>
      </c>
    </row>
    <row r="352" spans="1:4">
      <c r="A352" s="107">
        <v>2</v>
      </c>
      <c r="B352" s="1323" t="s">
        <v>2117</v>
      </c>
      <c r="C352" t="s">
        <v>444</v>
      </c>
      <c r="D352" s="113">
        <v>0</v>
      </c>
    </row>
    <row r="353" spans="1:4">
      <c r="A353" s="107">
        <v>2</v>
      </c>
      <c r="B353" s="1324"/>
      <c r="C353" t="s">
        <v>445</v>
      </c>
      <c r="D353" s="113">
        <v>0</v>
      </c>
    </row>
    <row r="354" spans="1:4">
      <c r="A354" s="107">
        <v>2</v>
      </c>
      <c r="B354" s="1324"/>
      <c r="C354" t="s">
        <v>446</v>
      </c>
      <c r="D354" s="113">
        <v>27232</v>
      </c>
    </row>
    <row r="355" spans="1:4">
      <c r="A355" s="107">
        <v>2</v>
      </c>
      <c r="B355" s="1324"/>
      <c r="C355" t="s">
        <v>1253</v>
      </c>
      <c r="D355" s="113">
        <v>0</v>
      </c>
    </row>
    <row r="356" spans="1:4">
      <c r="A356" s="107">
        <v>2</v>
      </c>
      <c r="B356" s="1325"/>
      <c r="C356" t="s">
        <v>421</v>
      </c>
      <c r="D356" s="113">
        <v>0</v>
      </c>
    </row>
    <row r="357" spans="1:4">
      <c r="A357" s="107">
        <v>2</v>
      </c>
      <c r="B357" s="1323" t="s">
        <v>2118</v>
      </c>
      <c r="C357" t="s">
        <v>444</v>
      </c>
      <c r="D357" s="113">
        <v>0</v>
      </c>
    </row>
    <row r="358" spans="1:4">
      <c r="A358" s="107">
        <v>2</v>
      </c>
      <c r="B358" s="1324"/>
      <c r="C358" t="s">
        <v>445</v>
      </c>
      <c r="D358" s="113">
        <v>0</v>
      </c>
    </row>
    <row r="359" spans="1:4">
      <c r="A359" s="107">
        <v>2</v>
      </c>
      <c r="B359" s="1324"/>
      <c r="C359" t="s">
        <v>446</v>
      </c>
      <c r="D359" s="113">
        <v>121552.2</v>
      </c>
    </row>
    <row r="360" spans="1:4">
      <c r="A360" s="107">
        <v>2</v>
      </c>
      <c r="B360" s="1324"/>
      <c r="C360" t="s">
        <v>1253</v>
      </c>
      <c r="D360" s="113">
        <v>0</v>
      </c>
    </row>
    <row r="361" spans="1:4">
      <c r="A361" s="107">
        <v>2</v>
      </c>
      <c r="B361" s="1325"/>
      <c r="C361" t="s">
        <v>421</v>
      </c>
      <c r="D361" s="113">
        <v>0</v>
      </c>
    </row>
    <row r="362" spans="1:4">
      <c r="A362" s="107">
        <v>2</v>
      </c>
      <c r="B362" s="1323" t="s">
        <v>1522</v>
      </c>
      <c r="C362" t="s">
        <v>444</v>
      </c>
      <c r="D362" s="113">
        <v>0</v>
      </c>
    </row>
    <row r="363" spans="1:4">
      <c r="A363" s="107">
        <v>2</v>
      </c>
      <c r="B363" s="1324"/>
      <c r="C363" t="s">
        <v>445</v>
      </c>
      <c r="D363" s="113">
        <v>0</v>
      </c>
    </row>
    <row r="364" spans="1:4">
      <c r="A364" s="107">
        <v>2</v>
      </c>
      <c r="B364" s="1324"/>
      <c r="C364" t="s">
        <v>446</v>
      </c>
      <c r="D364" s="113">
        <v>20989.8</v>
      </c>
    </row>
    <row r="365" spans="1:4">
      <c r="A365" s="107">
        <v>2</v>
      </c>
      <c r="B365" s="1324"/>
      <c r="C365" t="s">
        <v>1253</v>
      </c>
      <c r="D365" s="113">
        <v>0</v>
      </c>
    </row>
    <row r="366" spans="1:4">
      <c r="A366" s="107">
        <v>2</v>
      </c>
      <c r="B366" s="1325"/>
      <c r="C366" t="s">
        <v>421</v>
      </c>
      <c r="D366" s="113">
        <v>0</v>
      </c>
    </row>
    <row r="367" spans="1:4">
      <c r="A367" s="107">
        <v>2</v>
      </c>
      <c r="B367" s="1323" t="s">
        <v>2119</v>
      </c>
      <c r="C367" t="s">
        <v>444</v>
      </c>
      <c r="D367" s="113">
        <v>0</v>
      </c>
    </row>
    <row r="368" spans="1:4">
      <c r="A368" s="107">
        <v>2</v>
      </c>
      <c r="B368" s="1324"/>
      <c r="C368" t="s">
        <v>445</v>
      </c>
      <c r="D368" s="113">
        <v>0</v>
      </c>
    </row>
    <row r="369" spans="1:4">
      <c r="A369" s="107">
        <v>2</v>
      </c>
      <c r="B369" s="1324"/>
      <c r="C369" t="s">
        <v>446</v>
      </c>
      <c r="D369" s="113">
        <v>27843.4</v>
      </c>
    </row>
    <row r="370" spans="1:4">
      <c r="A370" s="107">
        <v>2</v>
      </c>
      <c r="B370" s="1324"/>
      <c r="C370" t="s">
        <v>1253</v>
      </c>
      <c r="D370" s="113">
        <v>0</v>
      </c>
    </row>
    <row r="371" spans="1:4">
      <c r="A371" s="107">
        <v>2</v>
      </c>
      <c r="B371" s="1325"/>
      <c r="C371" t="s">
        <v>421</v>
      </c>
      <c r="D371" s="113">
        <v>0</v>
      </c>
    </row>
    <row r="372" spans="1:4">
      <c r="A372" s="107">
        <v>2</v>
      </c>
      <c r="B372" s="1323" t="s">
        <v>1523</v>
      </c>
      <c r="C372" t="s">
        <v>444</v>
      </c>
      <c r="D372" s="113">
        <v>0</v>
      </c>
    </row>
    <row r="373" spans="1:4">
      <c r="A373" s="107">
        <v>2</v>
      </c>
      <c r="B373" s="1324"/>
      <c r="C373" t="s">
        <v>445</v>
      </c>
      <c r="D373" s="113">
        <v>0</v>
      </c>
    </row>
    <row r="374" spans="1:4">
      <c r="A374" s="107">
        <v>2</v>
      </c>
      <c r="B374" s="1324"/>
      <c r="C374" t="s">
        <v>446</v>
      </c>
      <c r="D374" s="113">
        <v>41441.9</v>
      </c>
    </row>
    <row r="375" spans="1:4">
      <c r="A375" s="107">
        <v>2</v>
      </c>
      <c r="B375" s="1324"/>
      <c r="C375" t="s">
        <v>1253</v>
      </c>
      <c r="D375" s="113">
        <v>0</v>
      </c>
    </row>
    <row r="376" spans="1:4">
      <c r="A376" s="107">
        <v>2</v>
      </c>
      <c r="B376" s="1325"/>
      <c r="C376" t="s">
        <v>421</v>
      </c>
      <c r="D376" s="113">
        <v>0</v>
      </c>
    </row>
    <row r="377" spans="1:4" s="645" customFormat="1">
      <c r="A377" s="644">
        <v>15</v>
      </c>
      <c r="B377" s="1323" t="s">
        <v>1524</v>
      </c>
      <c r="C377" s="645" t="s">
        <v>444</v>
      </c>
      <c r="D377" s="223">
        <v>2089701.8</v>
      </c>
    </row>
    <row r="378" spans="1:4">
      <c r="A378" s="646">
        <v>15</v>
      </c>
      <c r="B378" s="1324"/>
      <c r="C378" t="s">
        <v>445</v>
      </c>
      <c r="D378" s="223">
        <v>1623661.1</v>
      </c>
    </row>
    <row r="379" spans="1:4">
      <c r="A379" s="646">
        <v>15</v>
      </c>
      <c r="B379" s="1324"/>
      <c r="C379" t="s">
        <v>446</v>
      </c>
      <c r="D379" s="223">
        <v>137990</v>
      </c>
    </row>
    <row r="380" spans="1:4">
      <c r="A380" s="646">
        <v>15</v>
      </c>
      <c r="B380" s="1324"/>
      <c r="C380" t="s">
        <v>1253</v>
      </c>
      <c r="D380" s="223">
        <v>0</v>
      </c>
    </row>
    <row r="381" spans="1:4">
      <c r="A381" s="646">
        <v>15</v>
      </c>
      <c r="B381" s="1325"/>
      <c r="C381" t="s">
        <v>421</v>
      </c>
      <c r="D381" s="223">
        <v>18993.3</v>
      </c>
    </row>
    <row r="382" spans="1:4" ht="12" customHeight="1">
      <c r="A382" s="646">
        <v>2</v>
      </c>
      <c r="B382" s="1323" t="s">
        <v>780</v>
      </c>
      <c r="C382" t="s">
        <v>444</v>
      </c>
      <c r="D382" s="223">
        <v>0</v>
      </c>
    </row>
    <row r="383" spans="1:4">
      <c r="A383" s="107">
        <v>2</v>
      </c>
      <c r="B383" s="1324"/>
      <c r="C383" t="s">
        <v>445</v>
      </c>
      <c r="D383" s="223">
        <v>0</v>
      </c>
    </row>
    <row r="384" spans="1:4">
      <c r="A384" s="107">
        <v>2</v>
      </c>
      <c r="B384" s="1324"/>
      <c r="C384" t="s">
        <v>446</v>
      </c>
      <c r="D384" s="223">
        <v>25810.2</v>
      </c>
    </row>
    <row r="385" spans="1:4">
      <c r="A385" s="107">
        <v>2</v>
      </c>
      <c r="B385" s="1324"/>
      <c r="C385" t="s">
        <v>1253</v>
      </c>
      <c r="D385" s="223">
        <v>0</v>
      </c>
    </row>
    <row r="386" spans="1:4">
      <c r="A386" s="107">
        <v>2</v>
      </c>
      <c r="B386" s="1325"/>
      <c r="C386" t="s">
        <v>421</v>
      </c>
      <c r="D386" s="223">
        <v>0</v>
      </c>
    </row>
    <row r="387" spans="1:4" ht="12.75" customHeight="1">
      <c r="A387" s="107">
        <v>4</v>
      </c>
      <c r="B387" s="1323" t="s">
        <v>781</v>
      </c>
      <c r="C387" t="s">
        <v>444</v>
      </c>
      <c r="D387" s="223">
        <v>631308.69999999995</v>
      </c>
    </row>
    <row r="388" spans="1:4">
      <c r="A388" s="107">
        <v>4</v>
      </c>
      <c r="B388" s="1324"/>
      <c r="C388" t="s">
        <v>445</v>
      </c>
      <c r="D388" s="223">
        <v>0</v>
      </c>
    </row>
    <row r="389" spans="1:4">
      <c r="A389" s="107">
        <v>4</v>
      </c>
      <c r="B389" s="1324"/>
      <c r="C389" t="s">
        <v>446</v>
      </c>
      <c r="D389" s="223">
        <v>4393.8</v>
      </c>
    </row>
    <row r="390" spans="1:4">
      <c r="A390" s="107">
        <v>4</v>
      </c>
      <c r="B390" s="1324"/>
      <c r="C390" t="s">
        <v>1253</v>
      </c>
      <c r="D390" s="223">
        <v>0</v>
      </c>
    </row>
    <row r="391" spans="1:4">
      <c r="A391" s="107">
        <v>4</v>
      </c>
      <c r="B391" s="1325"/>
      <c r="C391" t="s">
        <v>421</v>
      </c>
      <c r="D391" s="223">
        <v>4890.8999999999996</v>
      </c>
    </row>
    <row r="392" spans="1:4">
      <c r="A392" s="107">
        <v>4</v>
      </c>
      <c r="B392" s="1323" t="s">
        <v>782</v>
      </c>
      <c r="C392" t="s">
        <v>444</v>
      </c>
      <c r="D392" s="223">
        <v>542258.4</v>
      </c>
    </row>
    <row r="393" spans="1:4">
      <c r="A393" s="107">
        <v>4</v>
      </c>
      <c r="B393" s="1324"/>
      <c r="C393" t="s">
        <v>445</v>
      </c>
      <c r="D393" s="223">
        <v>0</v>
      </c>
    </row>
    <row r="394" spans="1:4">
      <c r="A394" s="107">
        <v>4</v>
      </c>
      <c r="B394" s="1324"/>
      <c r="C394" t="s">
        <v>446</v>
      </c>
      <c r="D394" s="223">
        <v>17879.599999999999</v>
      </c>
    </row>
    <row r="395" spans="1:4">
      <c r="A395" s="107">
        <v>4</v>
      </c>
      <c r="B395" s="1324"/>
      <c r="C395" t="s">
        <v>1253</v>
      </c>
      <c r="D395" s="223">
        <v>0</v>
      </c>
    </row>
    <row r="396" spans="1:4">
      <c r="A396" s="107">
        <v>4</v>
      </c>
      <c r="B396" s="1325"/>
      <c r="C396" t="s">
        <v>421</v>
      </c>
      <c r="D396" s="223">
        <v>5522.6</v>
      </c>
    </row>
    <row r="397" spans="1:4">
      <c r="A397" s="107">
        <v>2</v>
      </c>
      <c r="B397" s="1323" t="s">
        <v>1525</v>
      </c>
      <c r="C397" t="s">
        <v>444</v>
      </c>
      <c r="D397" s="223">
        <v>0</v>
      </c>
    </row>
    <row r="398" spans="1:4">
      <c r="A398" s="107">
        <v>2</v>
      </c>
      <c r="B398" s="1324"/>
      <c r="C398" t="s">
        <v>445</v>
      </c>
      <c r="D398" s="223">
        <v>0</v>
      </c>
    </row>
    <row r="399" spans="1:4">
      <c r="A399" s="107">
        <v>2</v>
      </c>
      <c r="B399" s="1324"/>
      <c r="C399" t="s">
        <v>446</v>
      </c>
      <c r="D399" s="223">
        <v>33754</v>
      </c>
    </row>
    <row r="400" spans="1:4">
      <c r="A400" s="107">
        <v>2</v>
      </c>
      <c r="B400" s="1324"/>
      <c r="C400" t="s">
        <v>1253</v>
      </c>
      <c r="D400" s="223">
        <v>0</v>
      </c>
    </row>
    <row r="401" spans="1:4">
      <c r="A401" s="107">
        <v>2</v>
      </c>
      <c r="B401" s="1325"/>
      <c r="C401" t="s">
        <v>421</v>
      </c>
      <c r="D401" s="223">
        <v>0</v>
      </c>
    </row>
    <row r="402" spans="1:4" ht="12.75" customHeight="1">
      <c r="A402" s="107">
        <v>2</v>
      </c>
      <c r="B402" s="1323" t="s">
        <v>783</v>
      </c>
      <c r="C402" t="s">
        <v>444</v>
      </c>
      <c r="D402" s="223">
        <v>0</v>
      </c>
    </row>
    <row r="403" spans="1:4">
      <c r="A403" s="107">
        <v>2</v>
      </c>
      <c r="B403" s="1324"/>
      <c r="C403" t="s">
        <v>445</v>
      </c>
      <c r="D403" s="223">
        <v>0</v>
      </c>
    </row>
    <row r="404" spans="1:4">
      <c r="A404" s="107">
        <v>2</v>
      </c>
      <c r="B404" s="1324"/>
      <c r="C404" t="s">
        <v>446</v>
      </c>
      <c r="D404" s="223">
        <v>19468.099999999999</v>
      </c>
    </row>
    <row r="405" spans="1:4">
      <c r="A405" s="107">
        <v>2</v>
      </c>
      <c r="B405" s="1324"/>
      <c r="C405" t="s">
        <v>1253</v>
      </c>
      <c r="D405" s="223">
        <v>0</v>
      </c>
    </row>
    <row r="406" spans="1:4">
      <c r="A406" s="107">
        <v>2</v>
      </c>
      <c r="B406" s="1325"/>
      <c r="C406" t="s">
        <v>421</v>
      </c>
      <c r="D406" s="223">
        <v>0</v>
      </c>
    </row>
    <row r="407" spans="1:4">
      <c r="A407" s="107">
        <v>1</v>
      </c>
      <c r="B407" s="1323" t="s">
        <v>784</v>
      </c>
      <c r="C407" t="s">
        <v>444</v>
      </c>
      <c r="D407" s="223">
        <v>838958.3</v>
      </c>
    </row>
    <row r="408" spans="1:4">
      <c r="A408" s="107">
        <v>1</v>
      </c>
      <c r="B408" s="1324"/>
      <c r="C408" t="s">
        <v>445</v>
      </c>
      <c r="D408" s="223">
        <v>0</v>
      </c>
    </row>
    <row r="409" spans="1:4">
      <c r="A409" s="107">
        <v>1</v>
      </c>
      <c r="B409" s="1324"/>
      <c r="C409" t="s">
        <v>446</v>
      </c>
      <c r="D409" s="223">
        <v>30099.5</v>
      </c>
    </row>
    <row r="410" spans="1:4">
      <c r="A410" s="107">
        <v>1</v>
      </c>
      <c r="B410" s="1324"/>
      <c r="C410" t="s">
        <v>1253</v>
      </c>
      <c r="D410" s="223">
        <v>0</v>
      </c>
    </row>
    <row r="411" spans="1:4">
      <c r="A411" s="107">
        <v>1</v>
      </c>
      <c r="B411" s="1325"/>
      <c r="C411" t="s">
        <v>421</v>
      </c>
      <c r="D411" s="223">
        <v>0</v>
      </c>
    </row>
    <row r="412" spans="1:4" ht="12.75" customHeight="1">
      <c r="A412" s="107">
        <v>2</v>
      </c>
      <c r="B412" s="1323" t="s">
        <v>785</v>
      </c>
      <c r="C412" t="s">
        <v>444</v>
      </c>
      <c r="D412" s="223">
        <v>0</v>
      </c>
    </row>
    <row r="413" spans="1:4">
      <c r="A413" s="107">
        <v>2</v>
      </c>
      <c r="B413" s="1324"/>
      <c r="C413" t="s">
        <v>445</v>
      </c>
      <c r="D413" s="223">
        <v>0</v>
      </c>
    </row>
    <row r="414" spans="1:4">
      <c r="A414" s="107">
        <v>2</v>
      </c>
      <c r="B414" s="1324"/>
      <c r="C414" t="s">
        <v>446</v>
      </c>
      <c r="D414" s="223">
        <v>36583.9</v>
      </c>
    </row>
    <row r="415" spans="1:4">
      <c r="A415" s="107">
        <v>2</v>
      </c>
      <c r="B415" s="1324"/>
      <c r="C415" t="s">
        <v>1253</v>
      </c>
      <c r="D415" s="223">
        <v>0</v>
      </c>
    </row>
    <row r="416" spans="1:4">
      <c r="A416" s="107">
        <v>2</v>
      </c>
      <c r="B416" s="1325"/>
      <c r="C416" t="s">
        <v>421</v>
      </c>
      <c r="D416" s="223">
        <v>0</v>
      </c>
    </row>
    <row r="417" spans="1:4" ht="12.75" customHeight="1">
      <c r="A417" s="107">
        <v>2</v>
      </c>
      <c r="B417" s="1323" t="s">
        <v>786</v>
      </c>
      <c r="C417" t="s">
        <v>444</v>
      </c>
      <c r="D417" s="223">
        <v>0</v>
      </c>
    </row>
    <row r="418" spans="1:4">
      <c r="A418" s="107">
        <v>2</v>
      </c>
      <c r="B418" s="1324"/>
      <c r="C418" t="s">
        <v>445</v>
      </c>
      <c r="D418" s="223">
        <v>0</v>
      </c>
    </row>
    <row r="419" spans="1:4">
      <c r="A419" s="107">
        <v>2</v>
      </c>
      <c r="B419" s="1324"/>
      <c r="C419" t="s">
        <v>446</v>
      </c>
      <c r="D419" s="223">
        <v>35081.599999999999</v>
      </c>
    </row>
    <row r="420" spans="1:4">
      <c r="A420" s="107">
        <v>2</v>
      </c>
      <c r="B420" s="1324"/>
      <c r="C420" t="s">
        <v>1253</v>
      </c>
      <c r="D420" s="223">
        <v>0</v>
      </c>
    </row>
    <row r="421" spans="1:4">
      <c r="A421" s="107">
        <v>2</v>
      </c>
      <c r="B421" s="1325"/>
      <c r="C421" t="s">
        <v>421</v>
      </c>
      <c r="D421" s="223">
        <v>0</v>
      </c>
    </row>
    <row r="422" spans="1:4">
      <c r="A422" s="107">
        <v>2</v>
      </c>
      <c r="B422" s="1323" t="s">
        <v>787</v>
      </c>
      <c r="C422" t="s">
        <v>444</v>
      </c>
      <c r="D422" s="223">
        <v>0</v>
      </c>
    </row>
    <row r="423" spans="1:4">
      <c r="A423" s="107">
        <v>2</v>
      </c>
      <c r="B423" s="1324"/>
      <c r="C423" t="s">
        <v>445</v>
      </c>
      <c r="D423" s="223">
        <v>0</v>
      </c>
    </row>
    <row r="424" spans="1:4">
      <c r="A424" s="107">
        <v>2</v>
      </c>
      <c r="B424" s="1324"/>
      <c r="C424" t="s">
        <v>446</v>
      </c>
      <c r="D424" s="223">
        <v>50217.2</v>
      </c>
    </row>
    <row r="425" spans="1:4">
      <c r="A425" s="107">
        <v>2</v>
      </c>
      <c r="B425" s="1324"/>
      <c r="C425" t="s">
        <v>1253</v>
      </c>
      <c r="D425" s="223">
        <v>0</v>
      </c>
    </row>
    <row r="426" spans="1:4">
      <c r="A426" s="107">
        <v>2</v>
      </c>
      <c r="B426" s="1324"/>
      <c r="C426" t="s">
        <v>421</v>
      </c>
      <c r="D426" s="223">
        <v>0</v>
      </c>
    </row>
    <row r="427" spans="1:4">
      <c r="A427" s="107">
        <v>4</v>
      </c>
      <c r="B427" s="1323" t="s">
        <v>788</v>
      </c>
      <c r="C427" t="s">
        <v>444</v>
      </c>
      <c r="D427" s="223">
        <v>512285</v>
      </c>
    </row>
    <row r="428" spans="1:4">
      <c r="A428" s="107">
        <v>4</v>
      </c>
      <c r="B428" s="1324"/>
      <c r="C428" t="s">
        <v>445</v>
      </c>
      <c r="D428" s="223">
        <v>0</v>
      </c>
    </row>
    <row r="429" spans="1:4">
      <c r="A429" s="107">
        <v>4</v>
      </c>
      <c r="B429" s="1324"/>
      <c r="C429" t="s">
        <v>446</v>
      </c>
      <c r="D429" s="223">
        <v>57929.5</v>
      </c>
    </row>
    <row r="430" spans="1:4">
      <c r="A430" s="107">
        <v>4</v>
      </c>
      <c r="B430" s="1324"/>
      <c r="C430" t="s">
        <v>1253</v>
      </c>
      <c r="D430" s="223">
        <v>0</v>
      </c>
    </row>
    <row r="431" spans="1:4">
      <c r="A431" s="107">
        <v>4</v>
      </c>
      <c r="B431" s="1324"/>
      <c r="C431" t="s">
        <v>421</v>
      </c>
      <c r="D431" s="223">
        <v>0</v>
      </c>
    </row>
    <row r="432" spans="1:4">
      <c r="A432" s="107">
        <v>8</v>
      </c>
      <c r="B432" s="1323" t="s">
        <v>789</v>
      </c>
      <c r="C432" t="s">
        <v>444</v>
      </c>
      <c r="D432" s="223">
        <v>2288217.7999999998</v>
      </c>
    </row>
    <row r="433" spans="1:4">
      <c r="A433" s="107">
        <v>8</v>
      </c>
      <c r="B433" s="1324"/>
      <c r="C433" t="s">
        <v>445</v>
      </c>
      <c r="D433" s="223">
        <v>998181.2</v>
      </c>
    </row>
    <row r="434" spans="1:4">
      <c r="A434" s="107">
        <v>8</v>
      </c>
      <c r="B434" s="1324"/>
      <c r="C434" t="s">
        <v>446</v>
      </c>
      <c r="D434" s="223">
        <v>977893.1</v>
      </c>
    </row>
    <row r="435" spans="1:4">
      <c r="A435" s="107">
        <v>8</v>
      </c>
      <c r="B435" s="1324"/>
      <c r="C435" t="s">
        <v>1253</v>
      </c>
      <c r="D435" s="223">
        <v>0</v>
      </c>
    </row>
    <row r="436" spans="1:4">
      <c r="A436" s="107">
        <v>8</v>
      </c>
      <c r="B436" s="1324"/>
      <c r="C436" t="s">
        <v>421</v>
      </c>
      <c r="D436" s="223">
        <v>6195.7</v>
      </c>
    </row>
    <row r="437" spans="1:4">
      <c r="A437" s="107">
        <v>2</v>
      </c>
      <c r="B437" s="1323" t="s">
        <v>790</v>
      </c>
      <c r="C437" t="s">
        <v>444</v>
      </c>
      <c r="D437" s="223">
        <v>0</v>
      </c>
    </row>
    <row r="438" spans="1:4">
      <c r="A438" s="107">
        <v>2</v>
      </c>
      <c r="B438" s="1324"/>
      <c r="C438" t="s">
        <v>445</v>
      </c>
      <c r="D438" s="223">
        <v>0</v>
      </c>
    </row>
    <row r="439" spans="1:4">
      <c r="A439" s="107">
        <v>2</v>
      </c>
      <c r="B439" s="1324"/>
      <c r="C439" t="s">
        <v>446</v>
      </c>
      <c r="D439" s="223">
        <v>37480.1</v>
      </c>
    </row>
    <row r="440" spans="1:4">
      <c r="A440" s="107">
        <v>2</v>
      </c>
      <c r="B440" s="1324"/>
      <c r="C440" t="s">
        <v>1253</v>
      </c>
      <c r="D440" s="223">
        <v>0</v>
      </c>
    </row>
    <row r="441" spans="1:4">
      <c r="A441" s="107">
        <v>2</v>
      </c>
      <c r="B441" s="1324"/>
      <c r="C441" t="s">
        <v>421</v>
      </c>
      <c r="D441" s="223">
        <v>0</v>
      </c>
    </row>
    <row r="442" spans="1:4">
      <c r="A442" s="107">
        <v>2</v>
      </c>
      <c r="B442" s="1323" t="s">
        <v>791</v>
      </c>
      <c r="C442" t="s">
        <v>444</v>
      </c>
      <c r="D442" s="223">
        <v>0</v>
      </c>
    </row>
    <row r="443" spans="1:4">
      <c r="A443" s="107">
        <v>2</v>
      </c>
      <c r="B443" s="1324"/>
      <c r="C443" t="s">
        <v>445</v>
      </c>
      <c r="D443" s="223">
        <v>0</v>
      </c>
    </row>
    <row r="444" spans="1:4">
      <c r="A444" s="107">
        <v>2</v>
      </c>
      <c r="B444" s="1324"/>
      <c r="C444" t="s">
        <v>446</v>
      </c>
      <c r="D444" s="223">
        <v>20762.599999999999</v>
      </c>
    </row>
    <row r="445" spans="1:4">
      <c r="A445" s="107">
        <v>2</v>
      </c>
      <c r="B445" s="1324"/>
      <c r="C445" t="s">
        <v>1253</v>
      </c>
      <c r="D445" s="223">
        <v>0</v>
      </c>
    </row>
    <row r="446" spans="1:4">
      <c r="A446" s="107">
        <v>2</v>
      </c>
      <c r="B446" s="1324"/>
      <c r="C446" t="s">
        <v>421</v>
      </c>
      <c r="D446" s="223">
        <v>0</v>
      </c>
    </row>
    <row r="447" spans="1:4">
      <c r="A447" s="107">
        <v>2</v>
      </c>
      <c r="B447" s="1323" t="s">
        <v>792</v>
      </c>
      <c r="C447" t="s">
        <v>444</v>
      </c>
      <c r="D447" s="223">
        <v>0</v>
      </c>
    </row>
    <row r="448" spans="1:4">
      <c r="A448" s="107">
        <v>2</v>
      </c>
      <c r="B448" s="1324"/>
      <c r="C448" t="s">
        <v>445</v>
      </c>
      <c r="D448" s="223">
        <v>0</v>
      </c>
    </row>
    <row r="449" spans="1:4">
      <c r="A449" s="107">
        <v>2</v>
      </c>
      <c r="B449" s="1324"/>
      <c r="C449" t="s">
        <v>446</v>
      </c>
      <c r="D449" s="223">
        <v>17294.5</v>
      </c>
    </row>
    <row r="450" spans="1:4">
      <c r="A450" s="107">
        <v>2</v>
      </c>
      <c r="B450" s="1324"/>
      <c r="C450" t="s">
        <v>1253</v>
      </c>
      <c r="D450" s="223">
        <v>0</v>
      </c>
    </row>
    <row r="451" spans="1:4">
      <c r="A451" s="107">
        <v>2</v>
      </c>
      <c r="B451" s="1324"/>
      <c r="C451" t="s">
        <v>421</v>
      </c>
      <c r="D451" s="223">
        <v>0</v>
      </c>
    </row>
    <row r="452" spans="1:4">
      <c r="A452" s="107">
        <v>2</v>
      </c>
      <c r="B452" s="1323" t="s">
        <v>793</v>
      </c>
      <c r="C452" t="s">
        <v>444</v>
      </c>
      <c r="D452" s="223">
        <v>0</v>
      </c>
    </row>
    <row r="453" spans="1:4">
      <c r="A453" s="107">
        <v>2</v>
      </c>
      <c r="B453" s="1324"/>
      <c r="C453" t="s">
        <v>445</v>
      </c>
      <c r="D453" s="223">
        <v>0</v>
      </c>
    </row>
    <row r="454" spans="1:4">
      <c r="A454" s="107">
        <v>2</v>
      </c>
      <c r="B454" s="1324"/>
      <c r="C454" t="s">
        <v>446</v>
      </c>
      <c r="D454" s="223">
        <v>47252.800000000003</v>
      </c>
    </row>
    <row r="455" spans="1:4">
      <c r="A455" s="107">
        <v>2</v>
      </c>
      <c r="B455" s="1324"/>
      <c r="C455" t="s">
        <v>1253</v>
      </c>
      <c r="D455" s="223">
        <v>0</v>
      </c>
    </row>
    <row r="456" spans="1:4">
      <c r="A456" s="107">
        <v>2</v>
      </c>
      <c r="B456" s="1324"/>
      <c r="C456" t="s">
        <v>421</v>
      </c>
      <c r="D456" s="223">
        <v>0</v>
      </c>
    </row>
    <row r="457" spans="1:4">
      <c r="A457" s="107">
        <v>1</v>
      </c>
      <c r="B457" s="1323" t="s">
        <v>794</v>
      </c>
      <c r="C457" t="s">
        <v>444</v>
      </c>
      <c r="D457" s="223">
        <v>864312.6</v>
      </c>
    </row>
    <row r="458" spans="1:4">
      <c r="A458" s="107">
        <v>1</v>
      </c>
      <c r="B458" s="1324"/>
      <c r="C458" t="s">
        <v>445</v>
      </c>
      <c r="D458" s="223">
        <v>614182.30000000005</v>
      </c>
    </row>
    <row r="459" spans="1:4">
      <c r="A459" s="107">
        <v>1</v>
      </c>
      <c r="B459" s="1324"/>
      <c r="C459" t="s">
        <v>446</v>
      </c>
      <c r="D459" s="223">
        <v>54446.2</v>
      </c>
    </row>
    <row r="460" spans="1:4">
      <c r="A460" s="107">
        <v>1</v>
      </c>
      <c r="B460" s="1324"/>
      <c r="C460" t="s">
        <v>1253</v>
      </c>
      <c r="D460" s="223">
        <v>0</v>
      </c>
    </row>
    <row r="461" spans="1:4">
      <c r="A461" s="107">
        <v>1</v>
      </c>
      <c r="B461" s="1324"/>
      <c r="C461" t="s">
        <v>421</v>
      </c>
      <c r="D461" s="223">
        <v>16914.099999999999</v>
      </c>
    </row>
    <row r="462" spans="1:4">
      <c r="A462" s="111">
        <v>2</v>
      </c>
      <c r="B462" s="1323" t="s">
        <v>795</v>
      </c>
      <c r="C462" t="s">
        <v>444</v>
      </c>
      <c r="D462" s="223">
        <v>0</v>
      </c>
    </row>
    <row r="463" spans="1:4">
      <c r="A463" s="111">
        <v>2</v>
      </c>
      <c r="B463" s="1324"/>
      <c r="C463" t="s">
        <v>445</v>
      </c>
      <c r="D463" s="223">
        <v>0</v>
      </c>
    </row>
    <row r="464" spans="1:4">
      <c r="A464" s="111">
        <v>2</v>
      </c>
      <c r="B464" s="1324"/>
      <c r="C464" t="s">
        <v>446</v>
      </c>
      <c r="D464" s="223">
        <v>37970.800000000003</v>
      </c>
    </row>
    <row r="465" spans="1:4">
      <c r="A465" s="111">
        <v>2</v>
      </c>
      <c r="B465" s="1324"/>
      <c r="C465" t="s">
        <v>1253</v>
      </c>
      <c r="D465" s="223">
        <v>0</v>
      </c>
    </row>
    <row r="466" spans="1:4">
      <c r="A466" s="111">
        <v>2</v>
      </c>
      <c r="B466" s="1324"/>
      <c r="C466" t="s">
        <v>421</v>
      </c>
      <c r="D466" s="223">
        <v>0</v>
      </c>
    </row>
    <row r="467" spans="1:4">
      <c r="A467" s="111">
        <v>2</v>
      </c>
      <c r="B467" s="1323" t="s">
        <v>796</v>
      </c>
      <c r="C467" t="s">
        <v>444</v>
      </c>
      <c r="D467" s="223">
        <v>0</v>
      </c>
    </row>
    <row r="468" spans="1:4">
      <c r="A468" s="111">
        <v>2</v>
      </c>
      <c r="B468" s="1324"/>
      <c r="C468" t="s">
        <v>445</v>
      </c>
      <c r="D468" s="223">
        <v>0</v>
      </c>
    </row>
    <row r="469" spans="1:4">
      <c r="A469" s="111">
        <v>2</v>
      </c>
      <c r="B469" s="1324"/>
      <c r="C469" t="s">
        <v>446</v>
      </c>
      <c r="D469" s="223">
        <v>11854.2</v>
      </c>
    </row>
    <row r="470" spans="1:4">
      <c r="A470" s="111">
        <v>2</v>
      </c>
      <c r="B470" s="1324"/>
      <c r="C470" t="s">
        <v>1253</v>
      </c>
      <c r="D470" s="223">
        <v>0</v>
      </c>
    </row>
    <row r="471" spans="1:4">
      <c r="A471" s="111">
        <v>2</v>
      </c>
      <c r="B471" s="1324"/>
      <c r="C471" t="s">
        <v>421</v>
      </c>
      <c r="D471" s="223">
        <v>0</v>
      </c>
    </row>
    <row r="472" spans="1:4">
      <c r="A472" s="111">
        <v>2</v>
      </c>
      <c r="B472" s="1323" t="s">
        <v>797</v>
      </c>
      <c r="C472" t="s">
        <v>444</v>
      </c>
      <c r="D472" s="223">
        <v>0</v>
      </c>
    </row>
    <row r="473" spans="1:4">
      <c r="A473" s="111">
        <v>2</v>
      </c>
      <c r="B473" s="1324"/>
      <c r="C473" t="s">
        <v>445</v>
      </c>
      <c r="D473" s="223">
        <v>0</v>
      </c>
    </row>
    <row r="474" spans="1:4">
      <c r="A474" s="111">
        <v>2</v>
      </c>
      <c r="B474" s="1324"/>
      <c r="C474" t="s">
        <v>446</v>
      </c>
      <c r="D474" s="223">
        <v>33552</v>
      </c>
    </row>
    <row r="475" spans="1:4">
      <c r="A475" s="111">
        <v>2</v>
      </c>
      <c r="B475" s="1324"/>
      <c r="C475" t="s">
        <v>1253</v>
      </c>
      <c r="D475" s="223">
        <v>0</v>
      </c>
    </row>
    <row r="476" spans="1:4">
      <c r="A476" s="111">
        <v>2</v>
      </c>
      <c r="B476" s="1324"/>
      <c r="C476" t="s">
        <v>421</v>
      </c>
      <c r="D476" s="223">
        <v>0</v>
      </c>
    </row>
    <row r="477" spans="1:4">
      <c r="A477" s="111">
        <v>2</v>
      </c>
      <c r="B477" s="1323" t="s">
        <v>798</v>
      </c>
      <c r="C477" t="s">
        <v>444</v>
      </c>
      <c r="D477" s="223">
        <v>0</v>
      </c>
    </row>
    <row r="478" spans="1:4">
      <c r="A478" s="111">
        <v>2</v>
      </c>
      <c r="B478" s="1324"/>
      <c r="C478" t="s">
        <v>445</v>
      </c>
      <c r="D478" s="223">
        <v>0</v>
      </c>
    </row>
    <row r="479" spans="1:4">
      <c r="A479" s="111">
        <v>2</v>
      </c>
      <c r="B479" s="1324"/>
      <c r="C479" t="s">
        <v>446</v>
      </c>
      <c r="D479" s="223">
        <v>40717.5</v>
      </c>
    </row>
    <row r="480" spans="1:4">
      <c r="A480" s="107">
        <v>4</v>
      </c>
      <c r="B480" s="1324"/>
      <c r="C480" t="s">
        <v>1253</v>
      </c>
      <c r="D480" s="223">
        <v>0</v>
      </c>
    </row>
    <row r="481" spans="1:4">
      <c r="A481" s="107">
        <v>4</v>
      </c>
      <c r="B481" s="1324"/>
      <c r="C481" t="s">
        <v>421</v>
      </c>
      <c r="D481" s="223">
        <v>0</v>
      </c>
    </row>
    <row r="482" spans="1:4">
      <c r="A482" s="107">
        <v>1</v>
      </c>
      <c r="B482" s="1323" t="s">
        <v>799</v>
      </c>
      <c r="C482" t="s">
        <v>444</v>
      </c>
      <c r="D482" s="223">
        <v>2546018.4</v>
      </c>
    </row>
    <row r="483" spans="1:4">
      <c r="A483" s="107">
        <v>1</v>
      </c>
      <c r="B483" s="1324"/>
      <c r="C483" t="s">
        <v>445</v>
      </c>
      <c r="D483" s="223">
        <v>1966500.7</v>
      </c>
    </row>
    <row r="484" spans="1:4">
      <c r="A484" s="107">
        <v>1</v>
      </c>
      <c r="B484" s="1324"/>
      <c r="C484" t="s">
        <v>446</v>
      </c>
      <c r="D484" s="223">
        <v>458097.9</v>
      </c>
    </row>
    <row r="485" spans="1:4">
      <c r="A485" s="107">
        <v>1</v>
      </c>
      <c r="B485" s="1324"/>
      <c r="C485" t="s">
        <v>1253</v>
      </c>
      <c r="D485" s="223">
        <v>0</v>
      </c>
    </row>
    <row r="486" spans="1:4">
      <c r="A486" s="107">
        <v>1</v>
      </c>
      <c r="B486" s="1324"/>
      <c r="C486" t="s">
        <v>421</v>
      </c>
      <c r="D486" s="223">
        <v>38000.699999999997</v>
      </c>
    </row>
    <row r="487" spans="1:4">
      <c r="A487" s="107">
        <v>2</v>
      </c>
      <c r="B487" s="1323" t="s">
        <v>800</v>
      </c>
      <c r="C487" t="s">
        <v>444</v>
      </c>
      <c r="D487" s="223">
        <v>0</v>
      </c>
    </row>
    <row r="488" spans="1:4">
      <c r="A488" s="107">
        <v>2</v>
      </c>
      <c r="B488" s="1324"/>
      <c r="C488" t="s">
        <v>445</v>
      </c>
      <c r="D488" s="223">
        <v>0</v>
      </c>
    </row>
    <row r="489" spans="1:4">
      <c r="A489" s="107">
        <v>2</v>
      </c>
      <c r="B489" s="1324"/>
      <c r="C489" t="s">
        <v>446</v>
      </c>
      <c r="D489" s="223">
        <v>38054.400000000001</v>
      </c>
    </row>
    <row r="490" spans="1:4">
      <c r="A490" s="107">
        <v>2</v>
      </c>
      <c r="B490" s="1324"/>
      <c r="C490" t="s">
        <v>1253</v>
      </c>
      <c r="D490" s="223">
        <v>0</v>
      </c>
    </row>
    <row r="491" spans="1:4">
      <c r="A491" s="107">
        <v>2</v>
      </c>
      <c r="B491" s="1324"/>
      <c r="C491" t="s">
        <v>421</v>
      </c>
      <c r="D491" s="223">
        <v>0</v>
      </c>
    </row>
    <row r="492" spans="1:4">
      <c r="A492" s="107">
        <v>2</v>
      </c>
      <c r="B492" s="1323" t="s">
        <v>801</v>
      </c>
      <c r="C492" t="s">
        <v>444</v>
      </c>
      <c r="D492" s="223">
        <v>0</v>
      </c>
    </row>
    <row r="493" spans="1:4">
      <c r="A493" s="107">
        <v>2</v>
      </c>
      <c r="B493" s="1324"/>
      <c r="C493" t="s">
        <v>445</v>
      </c>
      <c r="D493" s="223">
        <v>0</v>
      </c>
    </row>
    <row r="494" spans="1:4">
      <c r="A494" s="107">
        <v>2</v>
      </c>
      <c r="B494" s="1324"/>
      <c r="C494" t="s">
        <v>446</v>
      </c>
      <c r="D494" s="223">
        <v>18805.2</v>
      </c>
    </row>
    <row r="495" spans="1:4">
      <c r="A495" s="107">
        <v>2</v>
      </c>
      <c r="B495" s="1324"/>
      <c r="C495" t="s">
        <v>1253</v>
      </c>
      <c r="D495" s="223">
        <v>0</v>
      </c>
    </row>
    <row r="496" spans="1:4">
      <c r="A496" s="107">
        <v>2</v>
      </c>
      <c r="B496" s="1324"/>
      <c r="C496" t="s">
        <v>421</v>
      </c>
      <c r="D496" s="223">
        <v>0</v>
      </c>
    </row>
    <row r="497" spans="1:4">
      <c r="A497" s="107">
        <v>2</v>
      </c>
      <c r="B497" s="1323" t="s">
        <v>802</v>
      </c>
      <c r="C497" t="s">
        <v>444</v>
      </c>
      <c r="D497" s="223">
        <v>0</v>
      </c>
    </row>
    <row r="498" spans="1:4">
      <c r="A498" s="107">
        <v>2</v>
      </c>
      <c r="B498" s="1324"/>
      <c r="C498" t="s">
        <v>445</v>
      </c>
      <c r="D498" s="223">
        <v>0</v>
      </c>
    </row>
    <row r="499" spans="1:4">
      <c r="A499" s="107">
        <v>2</v>
      </c>
      <c r="B499" s="1324"/>
      <c r="C499" t="s">
        <v>446</v>
      </c>
      <c r="D499" s="223">
        <v>13352.5</v>
      </c>
    </row>
    <row r="500" spans="1:4">
      <c r="A500" s="107">
        <v>2</v>
      </c>
      <c r="B500" s="1324"/>
      <c r="C500" t="s">
        <v>1253</v>
      </c>
      <c r="D500" s="223">
        <v>0</v>
      </c>
    </row>
    <row r="501" spans="1:4">
      <c r="A501" s="107">
        <v>2</v>
      </c>
      <c r="B501" s="1324"/>
      <c r="C501" t="s">
        <v>421</v>
      </c>
      <c r="D501" s="223">
        <v>0</v>
      </c>
    </row>
    <row r="502" spans="1:4">
      <c r="A502" s="107">
        <v>2</v>
      </c>
      <c r="B502" s="1323" t="s">
        <v>803</v>
      </c>
      <c r="C502" t="s">
        <v>444</v>
      </c>
      <c r="D502" s="223">
        <v>0</v>
      </c>
    </row>
    <row r="503" spans="1:4">
      <c r="A503" s="107">
        <v>2</v>
      </c>
      <c r="B503" s="1324"/>
      <c r="C503" t="s">
        <v>445</v>
      </c>
      <c r="D503" s="223">
        <v>0</v>
      </c>
    </row>
    <row r="504" spans="1:4">
      <c r="A504" s="107">
        <v>2</v>
      </c>
      <c r="B504" s="1324"/>
      <c r="C504" t="s">
        <v>446</v>
      </c>
      <c r="D504" s="223">
        <v>40907.199999999997</v>
      </c>
    </row>
    <row r="505" spans="1:4">
      <c r="A505" s="107">
        <v>2</v>
      </c>
      <c r="B505" s="1324"/>
      <c r="C505" t="s">
        <v>1253</v>
      </c>
      <c r="D505" s="223">
        <v>0</v>
      </c>
    </row>
    <row r="506" spans="1:4">
      <c r="A506" s="107">
        <v>2</v>
      </c>
      <c r="B506" s="1324"/>
      <c r="C506" t="s">
        <v>421</v>
      </c>
      <c r="D506" s="223">
        <v>0</v>
      </c>
    </row>
    <row r="507" spans="1:4">
      <c r="A507" s="107">
        <v>2</v>
      </c>
      <c r="B507" s="1323" t="s">
        <v>804</v>
      </c>
      <c r="C507" t="s">
        <v>444</v>
      </c>
      <c r="D507" s="223">
        <v>0</v>
      </c>
    </row>
    <row r="508" spans="1:4">
      <c r="A508" s="107">
        <v>2</v>
      </c>
      <c r="B508" s="1324"/>
      <c r="C508" t="s">
        <v>445</v>
      </c>
      <c r="D508" s="223">
        <v>0</v>
      </c>
    </row>
    <row r="509" spans="1:4">
      <c r="A509" s="107">
        <v>2</v>
      </c>
      <c r="B509" s="1324"/>
      <c r="C509" t="s">
        <v>446</v>
      </c>
      <c r="D509" s="223">
        <v>36261.699999999997</v>
      </c>
    </row>
    <row r="510" spans="1:4">
      <c r="A510" s="107">
        <v>2</v>
      </c>
      <c r="B510" s="1324"/>
      <c r="C510" t="s">
        <v>1253</v>
      </c>
      <c r="D510" s="223">
        <v>0</v>
      </c>
    </row>
    <row r="511" spans="1:4">
      <c r="A511" s="107">
        <v>2</v>
      </c>
      <c r="B511" s="1324"/>
      <c r="C511" t="s">
        <v>421</v>
      </c>
      <c r="D511" s="223">
        <v>0</v>
      </c>
    </row>
    <row r="512" spans="1:4">
      <c r="A512" s="107">
        <v>2</v>
      </c>
      <c r="B512" s="1323" t="s">
        <v>805</v>
      </c>
      <c r="C512" t="s">
        <v>444</v>
      </c>
      <c r="D512" s="223">
        <v>0</v>
      </c>
    </row>
    <row r="513" spans="1:4">
      <c r="A513" s="107">
        <v>2</v>
      </c>
      <c r="B513" s="1324"/>
      <c r="C513" t="s">
        <v>445</v>
      </c>
      <c r="D513" s="223">
        <v>0</v>
      </c>
    </row>
    <row r="514" spans="1:4">
      <c r="A514" s="107">
        <v>2</v>
      </c>
      <c r="B514" s="1324"/>
      <c r="C514" t="s">
        <v>446</v>
      </c>
      <c r="D514" s="223">
        <v>37095.599999999999</v>
      </c>
    </row>
    <row r="515" spans="1:4">
      <c r="A515" s="107">
        <v>2</v>
      </c>
      <c r="B515" s="1324"/>
      <c r="C515" t="s">
        <v>1253</v>
      </c>
      <c r="D515" s="223">
        <v>0</v>
      </c>
    </row>
    <row r="516" spans="1:4">
      <c r="A516" s="107">
        <v>2</v>
      </c>
      <c r="B516" s="1324"/>
      <c r="C516" t="s">
        <v>421</v>
      </c>
      <c r="D516" s="223">
        <v>0</v>
      </c>
    </row>
    <row r="517" spans="1:4">
      <c r="A517" s="107">
        <v>2</v>
      </c>
      <c r="B517" s="1323" t="s">
        <v>806</v>
      </c>
      <c r="C517" t="s">
        <v>444</v>
      </c>
      <c r="D517" s="223">
        <v>0</v>
      </c>
    </row>
    <row r="518" spans="1:4">
      <c r="A518" s="107">
        <v>2</v>
      </c>
      <c r="B518" s="1324"/>
      <c r="C518" t="s">
        <v>445</v>
      </c>
      <c r="D518" s="223">
        <v>0</v>
      </c>
    </row>
    <row r="519" spans="1:4">
      <c r="A519" s="107">
        <v>2</v>
      </c>
      <c r="B519" s="1324"/>
      <c r="C519" t="s">
        <v>446</v>
      </c>
      <c r="D519" s="223">
        <v>20351.5</v>
      </c>
    </row>
    <row r="520" spans="1:4">
      <c r="A520" s="107">
        <v>2</v>
      </c>
      <c r="B520" s="1324"/>
      <c r="C520" t="s">
        <v>1253</v>
      </c>
      <c r="D520" s="223">
        <v>0</v>
      </c>
    </row>
    <row r="521" spans="1:4">
      <c r="A521" s="107">
        <v>2</v>
      </c>
      <c r="B521" s="1324"/>
      <c r="C521" t="s">
        <v>421</v>
      </c>
      <c r="D521" s="223">
        <v>0</v>
      </c>
    </row>
    <row r="522" spans="1:4">
      <c r="A522" s="107">
        <v>2</v>
      </c>
      <c r="B522" s="1323" t="s">
        <v>807</v>
      </c>
      <c r="C522" t="s">
        <v>444</v>
      </c>
      <c r="D522" s="223">
        <v>0</v>
      </c>
    </row>
    <row r="523" spans="1:4">
      <c r="A523" s="107">
        <v>2</v>
      </c>
      <c r="B523" s="1324"/>
      <c r="C523" t="s">
        <v>445</v>
      </c>
      <c r="D523" s="223">
        <v>0</v>
      </c>
    </row>
    <row r="524" spans="1:4">
      <c r="A524" s="107">
        <v>2</v>
      </c>
      <c r="B524" s="1324"/>
      <c r="C524" t="s">
        <v>446</v>
      </c>
      <c r="D524" s="223">
        <v>50642.1</v>
      </c>
    </row>
    <row r="525" spans="1:4">
      <c r="A525" s="107">
        <v>2</v>
      </c>
      <c r="B525" s="1324"/>
      <c r="C525" t="s">
        <v>1253</v>
      </c>
      <c r="D525" s="223">
        <v>0</v>
      </c>
    </row>
    <row r="526" spans="1:4">
      <c r="A526" s="107">
        <v>2</v>
      </c>
      <c r="B526" s="1324"/>
      <c r="C526" t="s">
        <v>421</v>
      </c>
      <c r="D526" s="223">
        <v>0</v>
      </c>
    </row>
    <row r="527" spans="1:4">
      <c r="A527" s="107">
        <v>2</v>
      </c>
      <c r="B527" s="1323" t="s">
        <v>1526</v>
      </c>
      <c r="C527" t="s">
        <v>444</v>
      </c>
      <c r="D527" s="223">
        <v>0</v>
      </c>
    </row>
    <row r="528" spans="1:4">
      <c r="A528" s="107">
        <v>2</v>
      </c>
      <c r="B528" s="1324"/>
      <c r="C528" t="s">
        <v>445</v>
      </c>
      <c r="D528" s="223">
        <v>0</v>
      </c>
    </row>
    <row r="529" spans="1:4">
      <c r="A529" s="107">
        <v>2</v>
      </c>
      <c r="B529" s="1324"/>
      <c r="C529" t="s">
        <v>446</v>
      </c>
      <c r="D529" s="223">
        <v>35473</v>
      </c>
    </row>
    <row r="530" spans="1:4">
      <c r="A530" s="107">
        <v>2</v>
      </c>
      <c r="B530" s="1324"/>
      <c r="C530" t="s">
        <v>1253</v>
      </c>
      <c r="D530" s="223">
        <v>0</v>
      </c>
    </row>
    <row r="531" spans="1:4">
      <c r="A531" s="107">
        <v>2</v>
      </c>
      <c r="B531" s="1324"/>
      <c r="C531" t="s">
        <v>421</v>
      </c>
      <c r="D531" s="223">
        <v>0</v>
      </c>
    </row>
    <row r="532" spans="1:4">
      <c r="A532" s="107">
        <v>2</v>
      </c>
      <c r="B532" s="1323" t="s">
        <v>808</v>
      </c>
      <c r="C532" t="s">
        <v>444</v>
      </c>
      <c r="D532" s="223">
        <v>0</v>
      </c>
    </row>
    <row r="533" spans="1:4">
      <c r="A533" s="107">
        <v>2</v>
      </c>
      <c r="B533" s="1324"/>
      <c r="C533" t="s">
        <v>445</v>
      </c>
      <c r="D533" s="223">
        <v>0</v>
      </c>
    </row>
    <row r="534" spans="1:4">
      <c r="A534" s="107">
        <v>2</v>
      </c>
      <c r="B534" s="1324"/>
      <c r="C534" t="s">
        <v>446</v>
      </c>
      <c r="D534" s="223">
        <v>41936.400000000001</v>
      </c>
    </row>
    <row r="535" spans="1:4">
      <c r="A535" s="107">
        <v>2</v>
      </c>
      <c r="B535" s="1324"/>
      <c r="C535" t="s">
        <v>1253</v>
      </c>
      <c r="D535" s="223">
        <v>0</v>
      </c>
    </row>
    <row r="536" spans="1:4">
      <c r="A536" s="107">
        <v>2</v>
      </c>
      <c r="B536" s="1324"/>
      <c r="C536" t="s">
        <v>421</v>
      </c>
      <c r="D536" s="223">
        <v>0</v>
      </c>
    </row>
    <row r="537" spans="1:4">
      <c r="A537" s="107">
        <v>2</v>
      </c>
      <c r="B537" s="1323" t="s">
        <v>1527</v>
      </c>
      <c r="C537" t="s">
        <v>444</v>
      </c>
      <c r="D537" s="223">
        <v>0</v>
      </c>
    </row>
    <row r="538" spans="1:4">
      <c r="A538" s="107">
        <v>2</v>
      </c>
      <c r="B538" s="1324"/>
      <c r="C538" t="s">
        <v>445</v>
      </c>
      <c r="D538" s="223">
        <v>0</v>
      </c>
    </row>
    <row r="539" spans="1:4">
      <c r="A539" s="107">
        <v>2</v>
      </c>
      <c r="B539" s="1324"/>
      <c r="C539" t="s">
        <v>446</v>
      </c>
      <c r="D539" s="223">
        <v>35801.599999999999</v>
      </c>
    </row>
    <row r="540" spans="1:4">
      <c r="A540" s="107">
        <v>2</v>
      </c>
      <c r="B540" s="1324"/>
      <c r="C540" t="s">
        <v>1253</v>
      </c>
      <c r="D540" s="223">
        <v>0</v>
      </c>
    </row>
    <row r="541" spans="1:4">
      <c r="A541" s="107">
        <v>2</v>
      </c>
      <c r="B541" s="1324"/>
      <c r="C541" t="s">
        <v>421</v>
      </c>
      <c r="D541" s="223">
        <v>0</v>
      </c>
    </row>
    <row r="542" spans="1:4">
      <c r="A542" s="107">
        <v>2</v>
      </c>
      <c r="B542" s="1323" t="s">
        <v>1528</v>
      </c>
      <c r="C542" t="s">
        <v>444</v>
      </c>
      <c r="D542" s="223">
        <v>0</v>
      </c>
    </row>
    <row r="543" spans="1:4">
      <c r="A543" s="107">
        <v>2</v>
      </c>
      <c r="B543" s="1324"/>
      <c r="C543" t="s">
        <v>445</v>
      </c>
      <c r="D543" s="223">
        <v>0</v>
      </c>
    </row>
    <row r="544" spans="1:4">
      <c r="A544" s="107">
        <v>2</v>
      </c>
      <c r="B544" s="1324"/>
      <c r="C544" t="s">
        <v>446</v>
      </c>
      <c r="D544" s="223">
        <v>35050.400000000001</v>
      </c>
    </row>
    <row r="545" spans="1:4">
      <c r="A545" s="107">
        <v>2</v>
      </c>
      <c r="B545" s="1324"/>
      <c r="C545" t="s">
        <v>1253</v>
      </c>
      <c r="D545" s="223">
        <v>0</v>
      </c>
    </row>
    <row r="546" spans="1:4">
      <c r="A546" s="107">
        <v>2</v>
      </c>
      <c r="B546" s="1324"/>
      <c r="C546" t="s">
        <v>421</v>
      </c>
      <c r="D546" s="223">
        <v>0</v>
      </c>
    </row>
    <row r="547" spans="1:4">
      <c r="A547" s="107">
        <v>2</v>
      </c>
      <c r="B547" s="1323" t="s">
        <v>1529</v>
      </c>
      <c r="C547" t="s">
        <v>444</v>
      </c>
      <c r="D547" s="223">
        <v>0</v>
      </c>
    </row>
    <row r="548" spans="1:4">
      <c r="A548" s="107">
        <v>2</v>
      </c>
      <c r="B548" s="1324"/>
      <c r="C548" t="s">
        <v>445</v>
      </c>
      <c r="D548" s="223">
        <v>0</v>
      </c>
    </row>
    <row r="549" spans="1:4">
      <c r="A549" s="107">
        <v>2</v>
      </c>
      <c r="B549" s="1324"/>
      <c r="C549" t="s">
        <v>446</v>
      </c>
      <c r="D549" s="223">
        <v>18246.2</v>
      </c>
    </row>
    <row r="550" spans="1:4">
      <c r="A550" s="107">
        <v>2</v>
      </c>
      <c r="B550" s="1324"/>
      <c r="C550" t="s">
        <v>1253</v>
      </c>
      <c r="D550" s="223">
        <v>0</v>
      </c>
    </row>
    <row r="551" spans="1:4">
      <c r="A551" s="107">
        <v>2</v>
      </c>
      <c r="B551" s="1324"/>
      <c r="C551" t="s">
        <v>421</v>
      </c>
      <c r="D551" s="223">
        <v>0</v>
      </c>
    </row>
    <row r="552" spans="1:4">
      <c r="A552" s="107">
        <v>1</v>
      </c>
      <c r="B552" s="1323" t="s">
        <v>809</v>
      </c>
      <c r="C552" t="s">
        <v>444</v>
      </c>
      <c r="D552" s="223">
        <v>201488.4</v>
      </c>
    </row>
    <row r="553" spans="1:4">
      <c r="A553" s="107">
        <v>1</v>
      </c>
      <c r="B553" s="1324"/>
      <c r="C553" t="s">
        <v>445</v>
      </c>
      <c r="D553" s="223">
        <v>0</v>
      </c>
    </row>
    <row r="554" spans="1:4">
      <c r="A554" s="107">
        <v>1</v>
      </c>
      <c r="B554" s="1324"/>
      <c r="C554" t="s">
        <v>446</v>
      </c>
      <c r="D554" s="223">
        <v>21852.6</v>
      </c>
    </row>
    <row r="555" spans="1:4">
      <c r="A555" s="107">
        <v>1</v>
      </c>
      <c r="B555" s="1324"/>
      <c r="C555" t="s">
        <v>1253</v>
      </c>
      <c r="D555" s="223">
        <v>0</v>
      </c>
    </row>
    <row r="556" spans="1:4">
      <c r="A556" s="107">
        <v>1</v>
      </c>
      <c r="B556" s="1324"/>
      <c r="C556" t="s">
        <v>421</v>
      </c>
      <c r="D556" s="223">
        <v>7229.6</v>
      </c>
    </row>
    <row r="557" spans="1:4">
      <c r="A557" s="107">
        <v>1</v>
      </c>
      <c r="B557" s="1323" t="s">
        <v>810</v>
      </c>
      <c r="C557" t="s">
        <v>444</v>
      </c>
      <c r="D557" s="223">
        <v>131902.5</v>
      </c>
    </row>
    <row r="558" spans="1:4">
      <c r="A558" s="107">
        <v>1</v>
      </c>
      <c r="B558" s="1324"/>
      <c r="C558" t="s">
        <v>445</v>
      </c>
      <c r="D558" s="223">
        <v>0</v>
      </c>
    </row>
    <row r="559" spans="1:4">
      <c r="A559" s="107">
        <v>1</v>
      </c>
      <c r="B559" s="1324"/>
      <c r="C559" t="s">
        <v>446</v>
      </c>
      <c r="D559" s="223">
        <v>21973.200000000001</v>
      </c>
    </row>
    <row r="560" spans="1:4">
      <c r="A560" s="107">
        <v>1</v>
      </c>
      <c r="B560" s="1324"/>
      <c r="C560" t="s">
        <v>1253</v>
      </c>
      <c r="D560" s="223">
        <v>0</v>
      </c>
    </row>
    <row r="561" spans="1:4">
      <c r="A561" s="107">
        <v>1</v>
      </c>
      <c r="B561" s="1324"/>
      <c r="C561" t="s">
        <v>421</v>
      </c>
      <c r="D561" s="223">
        <v>0</v>
      </c>
    </row>
    <row r="562" spans="1:4">
      <c r="A562" s="107">
        <v>2</v>
      </c>
      <c r="B562" s="1323" t="s">
        <v>811</v>
      </c>
      <c r="C562" t="s">
        <v>444</v>
      </c>
      <c r="D562" s="223">
        <v>0</v>
      </c>
    </row>
    <row r="563" spans="1:4">
      <c r="A563" s="107">
        <v>2</v>
      </c>
      <c r="B563" s="1324"/>
      <c r="C563" t="s">
        <v>445</v>
      </c>
      <c r="D563" s="223">
        <v>0</v>
      </c>
    </row>
    <row r="564" spans="1:4">
      <c r="A564" s="107">
        <v>2</v>
      </c>
      <c r="B564" s="1324"/>
      <c r="C564" t="s">
        <v>446</v>
      </c>
      <c r="D564" s="223">
        <v>22060.6</v>
      </c>
    </row>
    <row r="565" spans="1:4">
      <c r="A565" s="107">
        <v>2</v>
      </c>
      <c r="B565" s="1324"/>
      <c r="C565" t="s">
        <v>1253</v>
      </c>
      <c r="D565" s="223">
        <v>0</v>
      </c>
    </row>
    <row r="566" spans="1:4">
      <c r="A566" s="107">
        <v>2</v>
      </c>
      <c r="B566" s="1324"/>
      <c r="C566" t="s">
        <v>421</v>
      </c>
      <c r="D566" s="223">
        <v>0</v>
      </c>
    </row>
    <row r="567" spans="1:4">
      <c r="A567" s="107">
        <v>2</v>
      </c>
      <c r="B567" s="1323" t="s">
        <v>812</v>
      </c>
      <c r="C567" t="s">
        <v>444</v>
      </c>
      <c r="D567" s="223">
        <v>0</v>
      </c>
    </row>
    <row r="568" spans="1:4">
      <c r="A568" s="107">
        <v>2</v>
      </c>
      <c r="B568" s="1324"/>
      <c r="C568" t="s">
        <v>445</v>
      </c>
      <c r="D568" s="223">
        <v>0</v>
      </c>
    </row>
    <row r="569" spans="1:4">
      <c r="A569" s="107">
        <v>2</v>
      </c>
      <c r="B569" s="1324"/>
      <c r="C569" t="s">
        <v>446</v>
      </c>
      <c r="D569" s="223">
        <v>31498.799999999999</v>
      </c>
    </row>
    <row r="570" spans="1:4">
      <c r="A570" s="107">
        <v>2</v>
      </c>
      <c r="B570" s="1324"/>
      <c r="C570" t="s">
        <v>1253</v>
      </c>
      <c r="D570" s="223">
        <v>0</v>
      </c>
    </row>
    <row r="571" spans="1:4">
      <c r="A571" s="107">
        <v>2</v>
      </c>
      <c r="B571" s="1324"/>
      <c r="C571" t="s">
        <v>421</v>
      </c>
      <c r="D571" s="223">
        <v>0</v>
      </c>
    </row>
    <row r="572" spans="1:4">
      <c r="A572" s="107">
        <v>2</v>
      </c>
      <c r="B572" s="1323" t="s">
        <v>1530</v>
      </c>
      <c r="C572" t="s">
        <v>444</v>
      </c>
      <c r="D572" s="223">
        <v>0</v>
      </c>
    </row>
    <row r="573" spans="1:4">
      <c r="A573" s="107">
        <v>2</v>
      </c>
      <c r="B573" s="1324"/>
      <c r="C573" t="s">
        <v>445</v>
      </c>
      <c r="D573" s="223">
        <v>0</v>
      </c>
    </row>
    <row r="574" spans="1:4">
      <c r="A574" s="107">
        <v>2</v>
      </c>
      <c r="B574" s="1324"/>
      <c r="C574" t="s">
        <v>446</v>
      </c>
      <c r="D574" s="223">
        <v>8357</v>
      </c>
    </row>
    <row r="575" spans="1:4">
      <c r="A575" s="107">
        <v>2</v>
      </c>
      <c r="B575" s="1324"/>
      <c r="C575" t="s">
        <v>1253</v>
      </c>
      <c r="D575" s="223">
        <v>0</v>
      </c>
    </row>
    <row r="576" spans="1:4">
      <c r="A576" s="107">
        <v>2</v>
      </c>
      <c r="B576" s="1324"/>
      <c r="C576" t="s">
        <v>421</v>
      </c>
      <c r="D576" s="223">
        <v>0</v>
      </c>
    </row>
    <row r="577" spans="1:4">
      <c r="A577" s="107">
        <v>1</v>
      </c>
      <c r="B577" s="1323" t="s">
        <v>813</v>
      </c>
      <c r="C577" t="s">
        <v>444</v>
      </c>
      <c r="D577" s="223">
        <v>1282958</v>
      </c>
    </row>
    <row r="578" spans="1:4">
      <c r="A578" s="107">
        <v>1</v>
      </c>
      <c r="B578" s="1324"/>
      <c r="C578" t="s">
        <v>445</v>
      </c>
      <c r="D578" s="223">
        <v>391369</v>
      </c>
    </row>
    <row r="579" spans="1:4">
      <c r="A579" s="107">
        <v>1</v>
      </c>
      <c r="B579" s="1324"/>
      <c r="C579" t="s">
        <v>446</v>
      </c>
      <c r="D579" s="223">
        <v>100122</v>
      </c>
    </row>
    <row r="580" spans="1:4">
      <c r="A580" s="107">
        <v>1</v>
      </c>
      <c r="B580" s="1324"/>
      <c r="C580" t="s">
        <v>1253</v>
      </c>
      <c r="D580" s="223">
        <v>0</v>
      </c>
    </row>
    <row r="581" spans="1:4">
      <c r="A581" s="107">
        <v>1</v>
      </c>
      <c r="B581" s="1324"/>
      <c r="C581" t="s">
        <v>421</v>
      </c>
      <c r="D581" s="223">
        <v>0</v>
      </c>
    </row>
    <row r="582" spans="1:4">
      <c r="A582" s="107">
        <v>1</v>
      </c>
      <c r="B582" s="1323" t="s">
        <v>814</v>
      </c>
      <c r="C582" t="s">
        <v>444</v>
      </c>
      <c r="D582" s="223">
        <v>1097341</v>
      </c>
    </row>
    <row r="583" spans="1:4">
      <c r="A583" s="107">
        <v>1</v>
      </c>
      <c r="B583" s="1324"/>
      <c r="C583" t="s">
        <v>445</v>
      </c>
      <c r="D583" s="223">
        <v>2476702.7000000002</v>
      </c>
    </row>
    <row r="584" spans="1:4">
      <c r="A584" s="107">
        <v>1</v>
      </c>
      <c r="B584" s="1324"/>
      <c r="C584" t="s">
        <v>446</v>
      </c>
      <c r="D584" s="223">
        <v>159991.6</v>
      </c>
    </row>
    <row r="585" spans="1:4">
      <c r="A585" s="107">
        <v>1</v>
      </c>
      <c r="B585" s="1324"/>
      <c r="C585" t="s">
        <v>1253</v>
      </c>
      <c r="D585" s="223">
        <v>0</v>
      </c>
    </row>
    <row r="586" spans="1:4">
      <c r="A586" s="107">
        <v>1</v>
      </c>
      <c r="B586" s="1324"/>
      <c r="C586" t="s">
        <v>421</v>
      </c>
      <c r="D586" s="223">
        <v>0</v>
      </c>
    </row>
    <row r="587" spans="1:4">
      <c r="A587" s="107">
        <v>1</v>
      </c>
      <c r="B587" s="1323" t="s">
        <v>815</v>
      </c>
      <c r="C587" t="s">
        <v>444</v>
      </c>
      <c r="D587" s="223">
        <v>52503.7</v>
      </c>
    </row>
    <row r="588" spans="1:4">
      <c r="A588" s="107">
        <v>1</v>
      </c>
      <c r="B588" s="1324"/>
      <c r="C588" t="s">
        <v>445</v>
      </c>
      <c r="D588" s="223">
        <v>157354.6</v>
      </c>
    </row>
    <row r="589" spans="1:4">
      <c r="A589" s="107">
        <v>1</v>
      </c>
      <c r="B589" s="1324"/>
      <c r="C589" t="s">
        <v>446</v>
      </c>
      <c r="D589" s="223">
        <v>0</v>
      </c>
    </row>
    <row r="590" spans="1:4">
      <c r="A590" s="107">
        <v>1</v>
      </c>
      <c r="B590" s="1324"/>
      <c r="C590" t="s">
        <v>1253</v>
      </c>
      <c r="D590" s="223">
        <v>0</v>
      </c>
    </row>
    <row r="591" spans="1:4">
      <c r="A591" s="107">
        <v>1</v>
      </c>
      <c r="B591" s="1324"/>
      <c r="C591" t="s">
        <v>421</v>
      </c>
      <c r="D591" s="223">
        <v>0</v>
      </c>
    </row>
    <row r="592" spans="1:4">
      <c r="A592" s="107">
        <v>4</v>
      </c>
      <c r="B592" s="1323" t="s">
        <v>816</v>
      </c>
      <c r="C592" t="s">
        <v>444</v>
      </c>
      <c r="D592" s="223">
        <v>1364286</v>
      </c>
    </row>
    <row r="593" spans="1:4">
      <c r="A593" s="107">
        <v>4</v>
      </c>
      <c r="B593" s="1324"/>
      <c r="C593" t="s">
        <v>445</v>
      </c>
      <c r="D593" s="223">
        <v>18811</v>
      </c>
    </row>
    <row r="594" spans="1:4">
      <c r="A594" s="107">
        <v>4</v>
      </c>
      <c r="B594" s="1324"/>
      <c r="C594" t="s">
        <v>446</v>
      </c>
      <c r="D594" s="223">
        <v>3851</v>
      </c>
    </row>
    <row r="595" spans="1:4">
      <c r="A595" s="107">
        <v>4</v>
      </c>
      <c r="B595" s="1324"/>
      <c r="C595" t="s">
        <v>1253</v>
      </c>
      <c r="D595" s="223">
        <v>0</v>
      </c>
    </row>
    <row r="596" spans="1:4">
      <c r="A596" s="107">
        <v>4</v>
      </c>
      <c r="B596" s="1324"/>
      <c r="C596" t="s">
        <v>421</v>
      </c>
      <c r="D596" s="223">
        <v>0</v>
      </c>
    </row>
    <row r="597" spans="1:4">
      <c r="A597" s="107">
        <v>1</v>
      </c>
      <c r="B597" s="1323" t="s">
        <v>817</v>
      </c>
      <c r="C597" t="s">
        <v>444</v>
      </c>
      <c r="D597" s="223">
        <v>1455874.3</v>
      </c>
    </row>
    <row r="598" spans="1:4">
      <c r="A598" s="107">
        <v>1</v>
      </c>
      <c r="B598" s="1324"/>
      <c r="C598" t="s">
        <v>445</v>
      </c>
      <c r="D598" s="223">
        <v>60966.9</v>
      </c>
    </row>
    <row r="599" spans="1:4">
      <c r="A599" s="107">
        <v>1</v>
      </c>
      <c r="B599" s="1324"/>
      <c r="C599" t="s">
        <v>446</v>
      </c>
      <c r="D599" s="223">
        <v>0</v>
      </c>
    </row>
    <row r="600" spans="1:4">
      <c r="A600" s="107">
        <v>1</v>
      </c>
      <c r="B600" s="1324"/>
      <c r="C600" t="s">
        <v>1253</v>
      </c>
      <c r="D600" s="223">
        <v>0</v>
      </c>
    </row>
    <row r="601" spans="1:4">
      <c r="A601" s="107">
        <v>1</v>
      </c>
      <c r="B601" s="1324"/>
      <c r="C601" t="s">
        <v>421</v>
      </c>
      <c r="D601" s="223">
        <v>0</v>
      </c>
    </row>
    <row r="602" spans="1:4">
      <c r="A602" s="107">
        <v>11</v>
      </c>
      <c r="B602" s="1323" t="s">
        <v>818</v>
      </c>
      <c r="C602" t="s">
        <v>444</v>
      </c>
      <c r="D602" s="223">
        <v>2642601.2000000002</v>
      </c>
    </row>
    <row r="603" spans="1:4">
      <c r="A603" s="107">
        <v>11</v>
      </c>
      <c r="B603" s="1324"/>
      <c r="C603" t="s">
        <v>445</v>
      </c>
      <c r="D603" s="223">
        <v>1216191.6000000001</v>
      </c>
    </row>
    <row r="604" spans="1:4">
      <c r="A604" s="107">
        <v>11</v>
      </c>
      <c r="B604" s="1324"/>
      <c r="C604" t="s">
        <v>446</v>
      </c>
      <c r="D604" s="223">
        <v>0</v>
      </c>
    </row>
    <row r="605" spans="1:4">
      <c r="A605" s="107">
        <v>11</v>
      </c>
      <c r="B605" s="1324"/>
      <c r="C605" t="s">
        <v>1253</v>
      </c>
      <c r="D605" s="223">
        <v>0</v>
      </c>
    </row>
    <row r="606" spans="1:4">
      <c r="A606" s="107">
        <v>11</v>
      </c>
      <c r="B606" s="1325"/>
      <c r="C606" t="s">
        <v>421</v>
      </c>
      <c r="D606" s="223">
        <v>0</v>
      </c>
    </row>
    <row r="607" spans="1:4">
      <c r="A607" s="107">
        <v>4</v>
      </c>
      <c r="B607" s="1323" t="s">
        <v>819</v>
      </c>
      <c r="C607" t="s">
        <v>444</v>
      </c>
      <c r="D607" s="223">
        <v>572873.80000000005</v>
      </c>
    </row>
    <row r="608" spans="1:4">
      <c r="A608" s="107">
        <v>4</v>
      </c>
      <c r="B608" s="1324"/>
      <c r="C608" t="s">
        <v>445</v>
      </c>
      <c r="D608" s="223">
        <v>123181.2</v>
      </c>
    </row>
    <row r="609" spans="1:4">
      <c r="A609" s="107">
        <v>4</v>
      </c>
      <c r="B609" s="1324"/>
      <c r="C609" t="s">
        <v>446</v>
      </c>
      <c r="D609" s="223">
        <v>0</v>
      </c>
    </row>
    <row r="610" spans="1:4">
      <c r="A610" s="107">
        <v>4</v>
      </c>
      <c r="B610" s="1324"/>
      <c r="C610" t="s">
        <v>1253</v>
      </c>
      <c r="D610" s="223">
        <v>0</v>
      </c>
    </row>
    <row r="611" spans="1:4">
      <c r="A611" s="107">
        <v>4</v>
      </c>
      <c r="B611" s="1324"/>
      <c r="C611" t="s">
        <v>421</v>
      </c>
      <c r="D611" s="223">
        <v>20106.900000000001</v>
      </c>
    </row>
    <row r="612" spans="1:4">
      <c r="A612" s="107">
        <v>8</v>
      </c>
      <c r="B612" s="1323" t="s">
        <v>820</v>
      </c>
      <c r="C612" t="s">
        <v>444</v>
      </c>
      <c r="D612" s="223">
        <v>218856.7</v>
      </c>
    </row>
    <row r="613" spans="1:4">
      <c r="A613" s="107">
        <v>8</v>
      </c>
      <c r="B613" s="1324"/>
      <c r="C613" t="s">
        <v>445</v>
      </c>
      <c r="D613" s="223">
        <v>719058.9</v>
      </c>
    </row>
    <row r="614" spans="1:4">
      <c r="A614" s="107">
        <v>8</v>
      </c>
      <c r="B614" s="1324"/>
      <c r="C614" t="s">
        <v>446</v>
      </c>
      <c r="D614" s="223">
        <v>288055.2</v>
      </c>
    </row>
    <row r="615" spans="1:4">
      <c r="A615" s="107">
        <v>8</v>
      </c>
      <c r="B615" s="1324"/>
      <c r="C615" t="s">
        <v>1253</v>
      </c>
      <c r="D615" s="223">
        <v>0</v>
      </c>
    </row>
    <row r="616" spans="1:4">
      <c r="A616" s="107">
        <v>8</v>
      </c>
      <c r="B616" s="1324"/>
      <c r="C616" t="s">
        <v>421</v>
      </c>
      <c r="D616" s="223">
        <v>16129.5</v>
      </c>
    </row>
    <row r="617" spans="1:4">
      <c r="A617" s="107">
        <v>1</v>
      </c>
      <c r="B617" s="1323" t="s">
        <v>821</v>
      </c>
      <c r="C617" t="s">
        <v>444</v>
      </c>
      <c r="D617" s="223">
        <v>256691</v>
      </c>
    </row>
    <row r="618" spans="1:4">
      <c r="A618" s="107">
        <v>1</v>
      </c>
      <c r="B618" s="1324"/>
      <c r="C618" t="s">
        <v>445</v>
      </c>
      <c r="D618" s="223">
        <v>0</v>
      </c>
    </row>
    <row r="619" spans="1:4">
      <c r="A619" s="107">
        <v>1</v>
      </c>
      <c r="B619" s="1324"/>
      <c r="C619" t="s">
        <v>446</v>
      </c>
      <c r="D619" s="223">
        <v>14187</v>
      </c>
    </row>
    <row r="620" spans="1:4">
      <c r="A620" s="107">
        <v>1</v>
      </c>
      <c r="B620" s="1324"/>
      <c r="C620" t="s">
        <v>1253</v>
      </c>
      <c r="D620" s="223">
        <v>0</v>
      </c>
    </row>
    <row r="621" spans="1:4">
      <c r="A621" s="107">
        <v>1</v>
      </c>
      <c r="B621" s="1324"/>
      <c r="C621" t="s">
        <v>421</v>
      </c>
      <c r="D621" s="223">
        <v>0</v>
      </c>
    </row>
    <row r="622" spans="1:4">
      <c r="A622" s="107">
        <v>4</v>
      </c>
      <c r="B622" s="1323" t="s">
        <v>822</v>
      </c>
      <c r="C622" t="s">
        <v>444</v>
      </c>
      <c r="D622" s="223">
        <v>481324.6</v>
      </c>
    </row>
    <row r="623" spans="1:4">
      <c r="A623" s="107">
        <v>4</v>
      </c>
      <c r="B623" s="1324"/>
      <c r="C623" t="s">
        <v>445</v>
      </c>
      <c r="D623" s="223">
        <v>0</v>
      </c>
    </row>
    <row r="624" spans="1:4">
      <c r="A624" s="107">
        <v>4</v>
      </c>
      <c r="B624" s="1324"/>
      <c r="C624" t="s">
        <v>446</v>
      </c>
      <c r="D624" s="223">
        <v>42195.5</v>
      </c>
    </row>
    <row r="625" spans="1:4">
      <c r="A625" s="107">
        <v>4</v>
      </c>
      <c r="B625" s="1324"/>
      <c r="C625" t="s">
        <v>1253</v>
      </c>
      <c r="D625" s="223">
        <v>0</v>
      </c>
    </row>
    <row r="626" spans="1:4">
      <c r="A626" s="107">
        <v>4</v>
      </c>
      <c r="B626" s="1324"/>
      <c r="C626" t="s">
        <v>421</v>
      </c>
      <c r="D626" s="223">
        <v>6171.3</v>
      </c>
    </row>
    <row r="627" spans="1:4">
      <c r="A627" s="107">
        <v>15</v>
      </c>
      <c r="B627" s="1323" t="s">
        <v>823</v>
      </c>
      <c r="C627" t="s">
        <v>444</v>
      </c>
      <c r="D627" s="223">
        <v>283151.5</v>
      </c>
    </row>
    <row r="628" spans="1:4">
      <c r="A628" s="107">
        <v>15</v>
      </c>
      <c r="B628" s="1324"/>
      <c r="C628" t="s">
        <v>445</v>
      </c>
      <c r="D628" s="223">
        <v>398908.6</v>
      </c>
    </row>
    <row r="629" spans="1:4">
      <c r="A629" s="107">
        <v>15</v>
      </c>
      <c r="B629" s="1324"/>
      <c r="C629" t="s">
        <v>446</v>
      </c>
      <c r="D629" s="223">
        <v>0</v>
      </c>
    </row>
    <row r="630" spans="1:4">
      <c r="A630" s="107">
        <v>15</v>
      </c>
      <c r="B630" s="1324"/>
      <c r="C630" t="s">
        <v>1253</v>
      </c>
      <c r="D630" s="223">
        <v>0</v>
      </c>
    </row>
    <row r="631" spans="1:4">
      <c r="A631" s="107">
        <v>15</v>
      </c>
      <c r="B631" s="1324"/>
      <c r="C631" t="s">
        <v>421</v>
      </c>
      <c r="D631" s="223">
        <v>34536.199999999997</v>
      </c>
    </row>
    <row r="632" spans="1:4">
      <c r="A632" s="107">
        <v>12</v>
      </c>
      <c r="B632" s="1323" t="s">
        <v>824</v>
      </c>
      <c r="C632" t="s">
        <v>444</v>
      </c>
      <c r="D632" s="223">
        <v>527850.5</v>
      </c>
    </row>
    <row r="633" spans="1:4">
      <c r="A633" s="107">
        <v>12</v>
      </c>
      <c r="B633" s="1324"/>
      <c r="C633" t="s">
        <v>445</v>
      </c>
      <c r="D633" s="223">
        <v>0</v>
      </c>
    </row>
    <row r="634" spans="1:4">
      <c r="A634" s="107">
        <v>12</v>
      </c>
      <c r="B634" s="1324"/>
      <c r="C634" t="s">
        <v>446</v>
      </c>
      <c r="D634" s="223">
        <v>0</v>
      </c>
    </row>
    <row r="635" spans="1:4">
      <c r="A635" s="107">
        <v>12</v>
      </c>
      <c r="B635" s="1324"/>
      <c r="C635" t="s">
        <v>1253</v>
      </c>
      <c r="D635" s="223">
        <v>0</v>
      </c>
    </row>
    <row r="636" spans="1:4">
      <c r="A636" s="107">
        <v>12</v>
      </c>
      <c r="B636" s="1325"/>
      <c r="C636" t="s">
        <v>421</v>
      </c>
      <c r="D636" s="223">
        <v>0</v>
      </c>
    </row>
    <row r="637" spans="1:4">
      <c r="A637" s="107">
        <v>5</v>
      </c>
      <c r="B637" s="1323" t="s">
        <v>825</v>
      </c>
      <c r="C637" t="s">
        <v>444</v>
      </c>
      <c r="D637" s="223">
        <v>279149.5</v>
      </c>
    </row>
    <row r="638" spans="1:4">
      <c r="A638" s="107">
        <v>5</v>
      </c>
      <c r="B638" s="1324"/>
      <c r="C638" t="s">
        <v>445</v>
      </c>
      <c r="D638" s="223">
        <v>0</v>
      </c>
    </row>
    <row r="639" spans="1:4">
      <c r="A639" s="107">
        <v>5</v>
      </c>
      <c r="B639" s="1324"/>
      <c r="C639" t="s">
        <v>446</v>
      </c>
      <c r="D639" s="223">
        <v>0</v>
      </c>
    </row>
    <row r="640" spans="1:4">
      <c r="A640" s="107">
        <v>5</v>
      </c>
      <c r="B640" s="1324"/>
      <c r="C640" t="s">
        <v>1253</v>
      </c>
      <c r="D640" s="223">
        <v>0</v>
      </c>
    </row>
    <row r="641" spans="1:4">
      <c r="A641" s="107">
        <v>5</v>
      </c>
      <c r="B641" s="1325"/>
      <c r="C641" t="s">
        <v>421</v>
      </c>
      <c r="D641" s="223">
        <v>0</v>
      </c>
    </row>
    <row r="642" spans="1:4">
      <c r="A642" s="107">
        <v>1</v>
      </c>
      <c r="B642" s="1323" t="s">
        <v>826</v>
      </c>
      <c r="C642" t="s">
        <v>444</v>
      </c>
      <c r="D642" s="223">
        <v>271521.8</v>
      </c>
    </row>
    <row r="643" spans="1:4">
      <c r="A643" s="107">
        <v>1</v>
      </c>
      <c r="B643" s="1324"/>
      <c r="C643" t="s">
        <v>445</v>
      </c>
      <c r="D643" s="223">
        <v>10130.5</v>
      </c>
    </row>
    <row r="644" spans="1:4">
      <c r="A644" s="107">
        <v>1</v>
      </c>
      <c r="B644" s="1324"/>
      <c r="C644" t="s">
        <v>446</v>
      </c>
      <c r="D644" s="223">
        <v>0</v>
      </c>
    </row>
    <row r="645" spans="1:4">
      <c r="A645" s="107">
        <v>1</v>
      </c>
      <c r="B645" s="1324"/>
      <c r="C645" t="s">
        <v>1253</v>
      </c>
      <c r="D645" s="223">
        <v>0</v>
      </c>
    </row>
    <row r="646" spans="1:4">
      <c r="A646" s="107">
        <v>1</v>
      </c>
      <c r="B646" s="1324"/>
      <c r="C646" t="s">
        <v>421</v>
      </c>
      <c r="D646" s="223">
        <v>0</v>
      </c>
    </row>
    <row r="647" spans="1:4">
      <c r="A647" s="107">
        <v>1</v>
      </c>
      <c r="B647" s="1323" t="s">
        <v>827</v>
      </c>
      <c r="C647" t="s">
        <v>444</v>
      </c>
      <c r="D647" s="223">
        <v>1401303</v>
      </c>
    </row>
    <row r="648" spans="1:4">
      <c r="A648" s="107">
        <v>1</v>
      </c>
      <c r="B648" s="1324"/>
      <c r="C648" t="s">
        <v>445</v>
      </c>
      <c r="D648" s="223">
        <v>115383.2</v>
      </c>
    </row>
    <row r="649" spans="1:4">
      <c r="A649" s="107">
        <v>1</v>
      </c>
      <c r="B649" s="1324"/>
      <c r="C649" t="s">
        <v>446</v>
      </c>
      <c r="D649" s="223">
        <v>133519</v>
      </c>
    </row>
    <row r="650" spans="1:4">
      <c r="A650" s="107">
        <v>1</v>
      </c>
      <c r="B650" s="1324"/>
      <c r="C650" t="s">
        <v>1253</v>
      </c>
      <c r="D650" s="223">
        <v>0</v>
      </c>
    </row>
    <row r="651" spans="1:4">
      <c r="A651" s="107">
        <v>1</v>
      </c>
      <c r="B651" s="1324"/>
      <c r="C651" t="s">
        <v>421</v>
      </c>
      <c r="D651" s="223">
        <v>40879.300000000003</v>
      </c>
    </row>
    <row r="652" spans="1:4">
      <c r="A652" s="107">
        <v>4</v>
      </c>
      <c r="B652" s="1323" t="s">
        <v>828</v>
      </c>
      <c r="C652" t="s">
        <v>444</v>
      </c>
      <c r="D652" s="223">
        <v>977425.9</v>
      </c>
    </row>
    <row r="653" spans="1:4">
      <c r="A653" s="107">
        <v>4</v>
      </c>
      <c r="B653" s="1324"/>
      <c r="C653" t="s">
        <v>445</v>
      </c>
      <c r="D653" s="223">
        <v>514110</v>
      </c>
    </row>
    <row r="654" spans="1:4">
      <c r="A654" s="107">
        <v>4</v>
      </c>
      <c r="B654" s="1324"/>
      <c r="C654" t="s">
        <v>446</v>
      </c>
      <c r="D654" s="223">
        <v>10645.3</v>
      </c>
    </row>
    <row r="655" spans="1:4">
      <c r="A655" s="107">
        <v>4</v>
      </c>
      <c r="B655" s="1324"/>
      <c r="C655" t="s">
        <v>1253</v>
      </c>
      <c r="D655" s="223">
        <v>0</v>
      </c>
    </row>
    <row r="656" spans="1:4">
      <c r="A656" s="107">
        <v>4</v>
      </c>
      <c r="B656" s="1324"/>
      <c r="C656" t="s">
        <v>421</v>
      </c>
      <c r="D656" s="223">
        <v>0</v>
      </c>
    </row>
    <row r="657" spans="1:4">
      <c r="A657" s="107">
        <v>3</v>
      </c>
      <c r="B657" s="1323" t="s">
        <v>830</v>
      </c>
      <c r="C657" t="s">
        <v>444</v>
      </c>
      <c r="D657" s="223">
        <v>136583.79999999999</v>
      </c>
    </row>
    <row r="658" spans="1:4">
      <c r="A658" s="107">
        <v>3</v>
      </c>
      <c r="B658" s="1324"/>
      <c r="C658" t="s">
        <v>445</v>
      </c>
      <c r="D658" s="223">
        <v>0</v>
      </c>
    </row>
    <row r="659" spans="1:4">
      <c r="A659" s="107">
        <v>3</v>
      </c>
      <c r="B659" s="1324"/>
      <c r="C659" t="s">
        <v>446</v>
      </c>
      <c r="D659" s="223">
        <v>3565.8</v>
      </c>
    </row>
    <row r="660" spans="1:4">
      <c r="A660" s="107">
        <v>3</v>
      </c>
      <c r="B660" s="1324"/>
      <c r="C660" t="s">
        <v>1253</v>
      </c>
      <c r="D660" s="223">
        <v>0</v>
      </c>
    </row>
    <row r="661" spans="1:4">
      <c r="A661" s="107">
        <v>3</v>
      </c>
      <c r="B661" s="1324"/>
      <c r="C661" t="s">
        <v>421</v>
      </c>
      <c r="D661" s="223">
        <v>0</v>
      </c>
    </row>
    <row r="662" spans="1:4">
      <c r="A662" s="107">
        <v>1</v>
      </c>
      <c r="B662" s="1323" t="s">
        <v>832</v>
      </c>
      <c r="C662" t="s">
        <v>444</v>
      </c>
      <c r="D662" s="223">
        <v>194227.7</v>
      </c>
    </row>
    <row r="663" spans="1:4">
      <c r="A663" s="107">
        <v>1</v>
      </c>
      <c r="B663" s="1324"/>
      <c r="C663" t="s">
        <v>445</v>
      </c>
      <c r="D663" s="223">
        <v>0</v>
      </c>
    </row>
    <row r="664" spans="1:4">
      <c r="A664" s="107">
        <v>1</v>
      </c>
      <c r="B664" s="1324"/>
      <c r="C664" t="s">
        <v>446</v>
      </c>
      <c r="D664" s="223">
        <v>0</v>
      </c>
    </row>
    <row r="665" spans="1:4">
      <c r="A665" s="107">
        <v>1</v>
      </c>
      <c r="B665" s="1324"/>
      <c r="C665" t="s">
        <v>1253</v>
      </c>
      <c r="D665" s="223">
        <v>0</v>
      </c>
    </row>
    <row r="666" spans="1:4">
      <c r="A666" s="107">
        <v>1</v>
      </c>
      <c r="B666" s="1325"/>
      <c r="C666" t="s">
        <v>421</v>
      </c>
      <c r="D666" s="223">
        <v>0</v>
      </c>
    </row>
    <row r="667" spans="1:4">
      <c r="A667" s="107">
        <v>1</v>
      </c>
      <c r="B667" s="1323" t="s">
        <v>834</v>
      </c>
      <c r="C667" t="s">
        <v>444</v>
      </c>
      <c r="D667" s="223">
        <v>584754.19999999995</v>
      </c>
    </row>
    <row r="668" spans="1:4">
      <c r="A668" s="107">
        <v>1</v>
      </c>
      <c r="B668" s="1324"/>
      <c r="C668" t="s">
        <v>445</v>
      </c>
      <c r="D668" s="223">
        <v>1537263</v>
      </c>
    </row>
    <row r="669" spans="1:4">
      <c r="A669" s="107">
        <v>1</v>
      </c>
      <c r="B669" s="1324"/>
      <c r="C669" t="s">
        <v>446</v>
      </c>
      <c r="D669" s="223">
        <v>106076.9</v>
      </c>
    </row>
    <row r="670" spans="1:4">
      <c r="A670" s="107">
        <v>1</v>
      </c>
      <c r="B670" s="1324"/>
      <c r="C670" t="s">
        <v>1253</v>
      </c>
      <c r="D670" s="223">
        <v>0</v>
      </c>
    </row>
    <row r="671" spans="1:4">
      <c r="A671" s="107">
        <v>1</v>
      </c>
      <c r="B671" s="1324"/>
      <c r="C671" t="s">
        <v>421</v>
      </c>
      <c r="D671" s="223">
        <v>0</v>
      </c>
    </row>
    <row r="672" spans="1:4">
      <c r="A672" s="107">
        <v>3</v>
      </c>
      <c r="B672" s="1323" t="s">
        <v>836</v>
      </c>
      <c r="C672" t="s">
        <v>444</v>
      </c>
      <c r="D672" s="223">
        <v>53727.4</v>
      </c>
    </row>
    <row r="673" spans="1:4">
      <c r="A673" s="107">
        <v>3</v>
      </c>
      <c r="B673" s="1324"/>
      <c r="C673" t="s">
        <v>445</v>
      </c>
      <c r="D673" s="223">
        <v>0</v>
      </c>
    </row>
    <row r="674" spans="1:4">
      <c r="A674" s="107">
        <v>3</v>
      </c>
      <c r="B674" s="1324"/>
      <c r="C674" t="s">
        <v>446</v>
      </c>
      <c r="D674" s="223">
        <v>17785.400000000001</v>
      </c>
    </row>
    <row r="675" spans="1:4">
      <c r="A675" s="107">
        <v>3</v>
      </c>
      <c r="B675" s="1324"/>
      <c r="C675" t="s">
        <v>1253</v>
      </c>
      <c r="D675" s="223">
        <v>0</v>
      </c>
    </row>
    <row r="676" spans="1:4">
      <c r="A676" s="107">
        <v>3</v>
      </c>
      <c r="B676" s="1324"/>
      <c r="C676" t="s">
        <v>421</v>
      </c>
      <c r="D676" s="223">
        <v>0</v>
      </c>
    </row>
    <row r="677" spans="1:4">
      <c r="A677" s="107">
        <v>15</v>
      </c>
      <c r="B677" s="1323" t="s">
        <v>837</v>
      </c>
      <c r="C677" t="s">
        <v>444</v>
      </c>
      <c r="D677" s="223">
        <v>462954.6</v>
      </c>
    </row>
    <row r="678" spans="1:4">
      <c r="A678" s="107">
        <v>15</v>
      </c>
      <c r="B678" s="1324"/>
      <c r="C678" t="s">
        <v>445</v>
      </c>
      <c r="D678" s="223">
        <v>2899517.9</v>
      </c>
    </row>
    <row r="679" spans="1:4">
      <c r="A679" s="107">
        <v>15</v>
      </c>
      <c r="B679" s="1324"/>
      <c r="C679" t="s">
        <v>446</v>
      </c>
      <c r="D679" s="223">
        <v>0</v>
      </c>
    </row>
    <row r="680" spans="1:4">
      <c r="A680" s="107">
        <v>15</v>
      </c>
      <c r="B680" s="1324"/>
      <c r="C680" t="s">
        <v>1253</v>
      </c>
      <c r="D680" s="223">
        <v>0</v>
      </c>
    </row>
    <row r="681" spans="1:4">
      <c r="A681" s="107">
        <v>15</v>
      </c>
      <c r="B681" s="1324"/>
      <c r="C681" t="s">
        <v>421</v>
      </c>
      <c r="D681" s="223">
        <v>5509.5</v>
      </c>
    </row>
    <row r="682" spans="1:4">
      <c r="A682" s="107">
        <v>1</v>
      </c>
      <c r="B682" s="1323" t="s">
        <v>838</v>
      </c>
      <c r="C682" t="s">
        <v>444</v>
      </c>
      <c r="D682" s="223">
        <v>141773.1</v>
      </c>
    </row>
    <row r="683" spans="1:4">
      <c r="A683" s="107">
        <v>1</v>
      </c>
      <c r="B683" s="1324"/>
      <c r="C683" t="s">
        <v>445</v>
      </c>
      <c r="D683" s="223">
        <v>412250.2</v>
      </c>
    </row>
    <row r="684" spans="1:4">
      <c r="A684" s="107">
        <v>1</v>
      </c>
      <c r="B684" s="1324"/>
      <c r="C684" t="s">
        <v>446</v>
      </c>
      <c r="D684" s="223">
        <v>0</v>
      </c>
    </row>
    <row r="685" spans="1:4">
      <c r="A685" s="107">
        <v>1</v>
      </c>
      <c r="B685" s="1324"/>
      <c r="C685" t="s">
        <v>1253</v>
      </c>
      <c r="D685" s="223">
        <v>0</v>
      </c>
    </row>
    <row r="686" spans="1:4">
      <c r="A686" s="107">
        <v>1</v>
      </c>
      <c r="B686" s="1324"/>
      <c r="C686" t="s">
        <v>421</v>
      </c>
      <c r="D686" s="223">
        <v>0</v>
      </c>
    </row>
    <row r="687" spans="1:4">
      <c r="A687" s="107">
        <v>13</v>
      </c>
      <c r="B687" s="1323" t="s">
        <v>839</v>
      </c>
      <c r="C687" t="s">
        <v>444</v>
      </c>
      <c r="D687" s="223">
        <v>1754163.5</v>
      </c>
    </row>
    <row r="688" spans="1:4">
      <c r="A688" s="107">
        <v>13</v>
      </c>
      <c r="B688" s="1324"/>
      <c r="C688" t="s">
        <v>445</v>
      </c>
      <c r="D688" s="223">
        <v>0</v>
      </c>
    </row>
    <row r="689" spans="1:4">
      <c r="A689" s="107">
        <v>13</v>
      </c>
      <c r="B689" s="1324"/>
      <c r="C689" t="s">
        <v>446</v>
      </c>
      <c r="D689" s="223">
        <v>0</v>
      </c>
    </row>
    <row r="690" spans="1:4">
      <c r="A690" s="107">
        <v>13</v>
      </c>
      <c r="B690" s="1324"/>
      <c r="C690" t="s">
        <v>1253</v>
      </c>
      <c r="D690" s="223">
        <v>0</v>
      </c>
    </row>
    <row r="691" spans="1:4">
      <c r="A691" s="107">
        <v>13</v>
      </c>
      <c r="B691" s="1325"/>
      <c r="C691" t="s">
        <v>421</v>
      </c>
      <c r="D691" s="223">
        <v>0</v>
      </c>
    </row>
    <row r="692" spans="1:4">
      <c r="A692" s="107">
        <v>1</v>
      </c>
      <c r="B692" s="1323" t="s">
        <v>840</v>
      </c>
      <c r="C692" t="s">
        <v>444</v>
      </c>
      <c r="D692" s="223">
        <v>22942.9</v>
      </c>
    </row>
    <row r="693" spans="1:4">
      <c r="A693" s="107">
        <v>1</v>
      </c>
      <c r="B693" s="1324"/>
      <c r="C693" t="s">
        <v>445</v>
      </c>
      <c r="D693" s="223">
        <v>0</v>
      </c>
    </row>
    <row r="694" spans="1:4">
      <c r="A694" s="107">
        <v>1</v>
      </c>
      <c r="B694" s="1324"/>
      <c r="C694" t="s">
        <v>446</v>
      </c>
      <c r="D694" s="223">
        <v>2510</v>
      </c>
    </row>
    <row r="695" spans="1:4">
      <c r="A695" s="107">
        <v>1</v>
      </c>
      <c r="B695" s="1324"/>
      <c r="C695" t="s">
        <v>1253</v>
      </c>
      <c r="D695" s="223">
        <v>0</v>
      </c>
    </row>
    <row r="696" spans="1:4">
      <c r="A696" s="107">
        <v>1</v>
      </c>
      <c r="B696" s="1324"/>
      <c r="C696" t="s">
        <v>421</v>
      </c>
      <c r="D696" s="223">
        <v>0</v>
      </c>
    </row>
    <row r="697" spans="1:4">
      <c r="A697" s="107">
        <v>1</v>
      </c>
      <c r="B697" s="1323" t="s">
        <v>841</v>
      </c>
      <c r="C697" t="s">
        <v>444</v>
      </c>
      <c r="D697" s="223">
        <v>328911.40000000002</v>
      </c>
    </row>
    <row r="698" spans="1:4">
      <c r="A698" s="107">
        <v>1</v>
      </c>
      <c r="B698" s="1324"/>
      <c r="C698" t="s">
        <v>445</v>
      </c>
      <c r="D698" s="223">
        <v>0</v>
      </c>
    </row>
    <row r="699" spans="1:4">
      <c r="A699" s="107">
        <v>1</v>
      </c>
      <c r="B699" s="1324"/>
      <c r="C699" t="s">
        <v>446</v>
      </c>
      <c r="D699" s="223">
        <v>0</v>
      </c>
    </row>
    <row r="700" spans="1:4">
      <c r="A700" s="107">
        <v>1</v>
      </c>
      <c r="B700" s="1324"/>
      <c r="C700" t="s">
        <v>1253</v>
      </c>
      <c r="D700" s="223">
        <v>0</v>
      </c>
    </row>
    <row r="701" spans="1:4">
      <c r="A701" s="107">
        <v>1</v>
      </c>
      <c r="B701" s="1325"/>
      <c r="C701" t="s">
        <v>421</v>
      </c>
      <c r="D701" s="223">
        <v>0</v>
      </c>
    </row>
    <row r="702" spans="1:4">
      <c r="A702" s="107">
        <v>1</v>
      </c>
      <c r="B702" s="1323" t="s">
        <v>842</v>
      </c>
      <c r="C702" t="s">
        <v>444</v>
      </c>
      <c r="D702" s="223">
        <v>133455.79999999999</v>
      </c>
    </row>
    <row r="703" spans="1:4">
      <c r="A703" s="107">
        <v>1</v>
      </c>
      <c r="B703" s="1324"/>
      <c r="C703" t="s">
        <v>445</v>
      </c>
      <c r="D703" s="223">
        <v>0</v>
      </c>
    </row>
    <row r="704" spans="1:4">
      <c r="A704" s="107">
        <v>1</v>
      </c>
      <c r="B704" s="1324"/>
      <c r="C704" t="s">
        <v>446</v>
      </c>
      <c r="D704" s="223">
        <v>0</v>
      </c>
    </row>
    <row r="705" spans="1:4">
      <c r="A705" s="107">
        <v>1</v>
      </c>
      <c r="B705" s="1324"/>
      <c r="C705" t="s">
        <v>1253</v>
      </c>
      <c r="D705" s="223">
        <v>0</v>
      </c>
    </row>
    <row r="706" spans="1:4">
      <c r="A706" s="107">
        <v>1</v>
      </c>
      <c r="B706" s="1325"/>
      <c r="C706" t="s">
        <v>421</v>
      </c>
      <c r="D706" s="223">
        <v>0</v>
      </c>
    </row>
    <row r="707" spans="1:4">
      <c r="A707" s="107">
        <v>1</v>
      </c>
      <c r="B707" s="1323" t="s">
        <v>843</v>
      </c>
      <c r="C707" t="s">
        <v>444</v>
      </c>
      <c r="D707" s="223">
        <v>178332.4</v>
      </c>
    </row>
    <row r="708" spans="1:4">
      <c r="A708" s="107">
        <v>1</v>
      </c>
      <c r="B708" s="1324"/>
      <c r="C708" t="s">
        <v>445</v>
      </c>
      <c r="D708" s="223">
        <v>810222.4</v>
      </c>
    </row>
    <row r="709" spans="1:4">
      <c r="A709" s="107">
        <v>1</v>
      </c>
      <c r="B709" s="1324"/>
      <c r="C709" t="s">
        <v>446</v>
      </c>
      <c r="D709" s="223">
        <v>0</v>
      </c>
    </row>
    <row r="710" spans="1:4">
      <c r="A710" s="107">
        <v>1</v>
      </c>
      <c r="B710" s="1324"/>
      <c r="C710" t="s">
        <v>1253</v>
      </c>
      <c r="D710" s="223">
        <v>0</v>
      </c>
    </row>
    <row r="711" spans="1:4">
      <c r="A711" s="107">
        <v>1</v>
      </c>
      <c r="B711" s="1324"/>
      <c r="C711" t="s">
        <v>421</v>
      </c>
      <c r="D711" s="223">
        <v>0</v>
      </c>
    </row>
    <row r="712" spans="1:4">
      <c r="A712" s="107">
        <v>14</v>
      </c>
      <c r="B712" s="1323" t="s">
        <v>844</v>
      </c>
      <c r="C712" t="s">
        <v>444</v>
      </c>
      <c r="D712" s="223">
        <v>66958.8</v>
      </c>
    </row>
    <row r="713" spans="1:4">
      <c r="A713" s="107">
        <v>14</v>
      </c>
      <c r="B713" s="1324"/>
      <c r="C713" t="s">
        <v>445</v>
      </c>
      <c r="D713" s="223">
        <v>0</v>
      </c>
    </row>
    <row r="714" spans="1:4">
      <c r="A714" s="107">
        <v>14</v>
      </c>
      <c r="B714" s="1324"/>
      <c r="C714" t="s">
        <v>446</v>
      </c>
      <c r="D714" s="223">
        <v>54520.7</v>
      </c>
    </row>
    <row r="715" spans="1:4">
      <c r="A715" s="107">
        <v>14</v>
      </c>
      <c r="B715" s="1324"/>
      <c r="C715" t="s">
        <v>1253</v>
      </c>
      <c r="D715" s="223">
        <v>0</v>
      </c>
    </row>
    <row r="716" spans="1:4">
      <c r="A716" s="107">
        <v>14</v>
      </c>
      <c r="B716" s="1324"/>
      <c r="C716" t="s">
        <v>421</v>
      </c>
      <c r="D716" s="223">
        <v>9963.2999999999993</v>
      </c>
    </row>
    <row r="717" spans="1:4">
      <c r="A717" s="107">
        <v>7</v>
      </c>
      <c r="B717" s="1323" t="s">
        <v>845</v>
      </c>
      <c r="C717" t="s">
        <v>444</v>
      </c>
      <c r="D717" s="223">
        <v>16302</v>
      </c>
    </row>
    <row r="718" spans="1:4">
      <c r="A718" s="107">
        <v>7</v>
      </c>
      <c r="B718" s="1324"/>
      <c r="C718" t="s">
        <v>445</v>
      </c>
      <c r="D718" s="223">
        <v>0</v>
      </c>
    </row>
    <row r="719" spans="1:4">
      <c r="A719" s="107">
        <v>7</v>
      </c>
      <c r="B719" s="1324"/>
      <c r="C719" t="s">
        <v>446</v>
      </c>
      <c r="D719" s="223">
        <v>19220</v>
      </c>
    </row>
    <row r="720" spans="1:4">
      <c r="A720" s="107">
        <v>7</v>
      </c>
      <c r="B720" s="1324"/>
      <c r="C720" t="s">
        <v>1253</v>
      </c>
      <c r="D720" s="223">
        <v>0</v>
      </c>
    </row>
    <row r="721" spans="1:4">
      <c r="A721" s="107">
        <v>7</v>
      </c>
      <c r="B721" s="1324"/>
      <c r="C721" t="s">
        <v>421</v>
      </c>
      <c r="D721" s="223">
        <v>0</v>
      </c>
    </row>
    <row r="722" spans="1:4">
      <c r="A722" s="107">
        <v>14</v>
      </c>
      <c r="B722" s="1323" t="s">
        <v>846</v>
      </c>
      <c r="C722" t="s">
        <v>444</v>
      </c>
      <c r="D722" s="223">
        <v>8257.4</v>
      </c>
    </row>
    <row r="723" spans="1:4">
      <c r="A723" s="107">
        <v>14</v>
      </c>
      <c r="B723" s="1324"/>
      <c r="C723" t="s">
        <v>445</v>
      </c>
      <c r="D723" s="223">
        <v>22996.5</v>
      </c>
    </row>
    <row r="724" spans="1:4">
      <c r="A724" s="107">
        <v>14</v>
      </c>
      <c r="B724" s="1324"/>
      <c r="C724" t="s">
        <v>446</v>
      </c>
      <c r="D724" s="223">
        <v>0</v>
      </c>
    </row>
    <row r="725" spans="1:4">
      <c r="A725" s="107">
        <v>14</v>
      </c>
      <c r="B725" s="1324"/>
      <c r="C725" t="s">
        <v>1253</v>
      </c>
      <c r="D725" s="223">
        <v>0</v>
      </c>
    </row>
    <row r="726" spans="1:4">
      <c r="A726" s="107">
        <v>14</v>
      </c>
      <c r="B726" s="1324"/>
      <c r="C726" t="s">
        <v>421</v>
      </c>
      <c r="D726" s="223">
        <v>0</v>
      </c>
    </row>
    <row r="727" spans="1:4">
      <c r="A727" s="107">
        <v>10</v>
      </c>
      <c r="B727" s="1323" t="s">
        <v>847</v>
      </c>
      <c r="C727" t="s">
        <v>444</v>
      </c>
      <c r="D727" s="223">
        <v>6789</v>
      </c>
    </row>
    <row r="728" spans="1:4">
      <c r="A728" s="107">
        <v>10</v>
      </c>
      <c r="B728" s="1324"/>
      <c r="C728" t="s">
        <v>445</v>
      </c>
      <c r="D728" s="223">
        <v>0</v>
      </c>
    </row>
    <row r="729" spans="1:4">
      <c r="A729" s="107">
        <v>10</v>
      </c>
      <c r="B729" s="1324"/>
      <c r="C729" t="s">
        <v>446</v>
      </c>
      <c r="D729" s="223">
        <v>0</v>
      </c>
    </row>
    <row r="730" spans="1:4">
      <c r="A730" s="107">
        <v>10</v>
      </c>
      <c r="B730" s="1324"/>
      <c r="C730" t="s">
        <v>1253</v>
      </c>
      <c r="D730" s="223">
        <v>0</v>
      </c>
    </row>
    <row r="731" spans="1:4">
      <c r="A731" s="107">
        <v>10</v>
      </c>
      <c r="B731" s="1325"/>
      <c r="C731" t="s">
        <v>421</v>
      </c>
      <c r="D731" s="223">
        <v>0</v>
      </c>
    </row>
    <row r="732" spans="1:4">
      <c r="A732" s="107">
        <v>1</v>
      </c>
      <c r="B732" s="1323" t="s">
        <v>848</v>
      </c>
      <c r="C732" t="s">
        <v>444</v>
      </c>
      <c r="D732" s="223">
        <v>0</v>
      </c>
    </row>
    <row r="733" spans="1:4">
      <c r="A733" s="107">
        <v>1</v>
      </c>
      <c r="B733" s="1324"/>
      <c r="C733" t="s">
        <v>445</v>
      </c>
      <c r="D733" s="223">
        <v>237184.4</v>
      </c>
    </row>
    <row r="734" spans="1:4">
      <c r="A734" s="107">
        <v>1</v>
      </c>
      <c r="B734" s="1324"/>
      <c r="C734" t="s">
        <v>446</v>
      </c>
      <c r="D734" s="223">
        <v>0</v>
      </c>
    </row>
    <row r="735" spans="1:4">
      <c r="A735" s="107">
        <v>1</v>
      </c>
      <c r="B735" s="1324"/>
      <c r="C735" t="s">
        <v>1253</v>
      </c>
      <c r="D735" s="223">
        <v>0</v>
      </c>
    </row>
    <row r="736" spans="1:4">
      <c r="A736" s="107">
        <v>1</v>
      </c>
      <c r="B736" s="1325"/>
      <c r="C736" t="s">
        <v>421</v>
      </c>
      <c r="D736" s="223">
        <v>0</v>
      </c>
    </row>
    <row r="737" spans="1:4">
      <c r="A737" s="107">
        <v>2</v>
      </c>
      <c r="B737" s="1323" t="s">
        <v>849</v>
      </c>
      <c r="C737" t="s">
        <v>444</v>
      </c>
      <c r="D737" s="223">
        <v>0</v>
      </c>
    </row>
    <row r="738" spans="1:4">
      <c r="A738" s="107">
        <v>2</v>
      </c>
      <c r="B738" s="1324"/>
      <c r="C738" t="s">
        <v>445</v>
      </c>
      <c r="D738" s="223">
        <v>0</v>
      </c>
    </row>
    <row r="739" spans="1:4">
      <c r="A739" s="107">
        <v>2</v>
      </c>
      <c r="B739" s="1324"/>
      <c r="C739" t="s">
        <v>446</v>
      </c>
      <c r="D739" s="223">
        <v>8389.6</v>
      </c>
    </row>
    <row r="740" spans="1:4">
      <c r="A740" s="107">
        <v>2</v>
      </c>
      <c r="B740" s="1324"/>
      <c r="C740" t="s">
        <v>1253</v>
      </c>
      <c r="D740" s="223">
        <v>0</v>
      </c>
    </row>
    <row r="741" spans="1:4">
      <c r="A741" s="107">
        <v>2</v>
      </c>
      <c r="B741" s="1324"/>
      <c r="C741" t="s">
        <v>421</v>
      </c>
      <c r="D741" s="223">
        <v>0</v>
      </c>
    </row>
    <row r="742" spans="1:4">
      <c r="A742" s="107">
        <v>1</v>
      </c>
      <c r="B742" s="1323" t="s">
        <v>2120</v>
      </c>
      <c r="C742" t="s">
        <v>444</v>
      </c>
      <c r="D742" s="223">
        <v>0</v>
      </c>
    </row>
    <row r="743" spans="1:4">
      <c r="A743" s="107">
        <v>1</v>
      </c>
      <c r="B743" s="1324"/>
      <c r="C743" t="s">
        <v>445</v>
      </c>
      <c r="D743" s="223">
        <v>10234</v>
      </c>
    </row>
    <row r="744" spans="1:4">
      <c r="A744" s="107">
        <v>1</v>
      </c>
      <c r="B744" s="1324"/>
      <c r="C744" t="s">
        <v>446</v>
      </c>
      <c r="D744" s="223">
        <v>0</v>
      </c>
    </row>
    <row r="745" spans="1:4">
      <c r="A745" s="107">
        <v>1</v>
      </c>
      <c r="B745" s="1324"/>
      <c r="C745" t="s">
        <v>1253</v>
      </c>
      <c r="D745" s="223">
        <v>0</v>
      </c>
    </row>
    <row r="746" spans="1:4">
      <c r="A746" s="107">
        <v>1</v>
      </c>
      <c r="B746" s="1324"/>
      <c r="C746" t="s">
        <v>421</v>
      </c>
      <c r="D746" s="223">
        <v>0</v>
      </c>
    </row>
    <row r="747" spans="1:4">
      <c r="A747" s="107">
        <v>2</v>
      </c>
      <c r="B747" s="1323" t="s">
        <v>850</v>
      </c>
      <c r="C747" t="s">
        <v>444</v>
      </c>
      <c r="D747" s="223">
        <v>16413.2</v>
      </c>
    </row>
    <row r="748" spans="1:4">
      <c r="A748" s="107">
        <v>2</v>
      </c>
      <c r="B748" s="1324"/>
      <c r="C748" t="s">
        <v>445</v>
      </c>
      <c r="D748" s="223">
        <v>0</v>
      </c>
    </row>
    <row r="749" spans="1:4">
      <c r="A749" s="107">
        <v>2</v>
      </c>
      <c r="B749" s="1324"/>
      <c r="C749" t="s">
        <v>446</v>
      </c>
      <c r="D749" s="223">
        <v>19934.5</v>
      </c>
    </row>
    <row r="750" spans="1:4">
      <c r="A750" s="107">
        <v>2</v>
      </c>
      <c r="B750" s="1324"/>
      <c r="C750" t="s">
        <v>1253</v>
      </c>
      <c r="D750" s="223">
        <v>0</v>
      </c>
    </row>
    <row r="751" spans="1:4">
      <c r="A751" s="107">
        <v>2</v>
      </c>
      <c r="B751" s="1324"/>
      <c r="C751" t="s">
        <v>421</v>
      </c>
      <c r="D751" s="223">
        <v>0</v>
      </c>
    </row>
    <row r="752" spans="1:4">
      <c r="A752" s="107">
        <v>2</v>
      </c>
      <c r="B752" s="1323" t="s">
        <v>851</v>
      </c>
      <c r="C752" t="s">
        <v>444</v>
      </c>
      <c r="D752" s="223">
        <v>0</v>
      </c>
    </row>
    <row r="753" spans="1:4">
      <c r="A753" s="107">
        <v>2</v>
      </c>
      <c r="B753" s="1324"/>
      <c r="C753" t="s">
        <v>445</v>
      </c>
      <c r="D753" s="223">
        <v>0</v>
      </c>
    </row>
    <row r="754" spans="1:4">
      <c r="A754" s="107">
        <v>2</v>
      </c>
      <c r="B754" s="1324"/>
      <c r="C754" t="s">
        <v>446</v>
      </c>
      <c r="D754" s="223">
        <v>114246</v>
      </c>
    </row>
    <row r="755" spans="1:4">
      <c r="A755" s="107">
        <v>2</v>
      </c>
      <c r="B755" s="1324"/>
      <c r="C755" t="s">
        <v>1253</v>
      </c>
      <c r="D755" s="223">
        <v>0</v>
      </c>
    </row>
    <row r="756" spans="1:4">
      <c r="A756" s="107">
        <v>2</v>
      </c>
      <c r="B756" s="1324"/>
      <c r="C756" t="s">
        <v>421</v>
      </c>
      <c r="D756" s="223">
        <v>0</v>
      </c>
    </row>
    <row r="757" spans="1:4">
      <c r="A757" s="107">
        <v>2</v>
      </c>
      <c r="B757" s="1323" t="s">
        <v>852</v>
      </c>
      <c r="C757" t="s">
        <v>444</v>
      </c>
      <c r="D757" s="223">
        <v>0</v>
      </c>
    </row>
    <row r="758" spans="1:4">
      <c r="A758" s="107">
        <v>2</v>
      </c>
      <c r="B758" s="1324"/>
      <c r="C758" t="s">
        <v>445</v>
      </c>
      <c r="D758" s="223">
        <v>0</v>
      </c>
    </row>
    <row r="759" spans="1:4">
      <c r="A759" s="107">
        <v>2</v>
      </c>
      <c r="B759" s="1324"/>
      <c r="C759" t="s">
        <v>446</v>
      </c>
      <c r="D759" s="223">
        <v>234376.5</v>
      </c>
    </row>
    <row r="760" spans="1:4">
      <c r="A760" s="107">
        <v>2</v>
      </c>
      <c r="B760" s="1324"/>
      <c r="C760" t="s">
        <v>1253</v>
      </c>
      <c r="D760" s="223">
        <v>0</v>
      </c>
    </row>
    <row r="761" spans="1:4">
      <c r="A761" s="107">
        <v>2</v>
      </c>
      <c r="B761" s="1324"/>
      <c r="C761" t="s">
        <v>421</v>
      </c>
      <c r="D761" s="223">
        <v>0</v>
      </c>
    </row>
    <row r="762" spans="1:4">
      <c r="A762" s="107">
        <v>1</v>
      </c>
      <c r="B762" s="1323" t="s">
        <v>853</v>
      </c>
      <c r="C762" t="s">
        <v>444</v>
      </c>
      <c r="D762" s="223">
        <v>38993.800000000003</v>
      </c>
    </row>
    <row r="763" spans="1:4">
      <c r="A763" s="107">
        <v>1</v>
      </c>
      <c r="B763" s="1324"/>
      <c r="C763" t="s">
        <v>445</v>
      </c>
      <c r="D763" s="223">
        <v>0</v>
      </c>
    </row>
    <row r="764" spans="1:4">
      <c r="A764" s="107">
        <v>1</v>
      </c>
      <c r="B764" s="1324"/>
      <c r="C764" t="s">
        <v>446</v>
      </c>
      <c r="D764" s="223">
        <v>0</v>
      </c>
    </row>
    <row r="765" spans="1:4">
      <c r="A765" s="107">
        <v>1</v>
      </c>
      <c r="B765" s="1324"/>
      <c r="C765" t="s">
        <v>1253</v>
      </c>
      <c r="D765" s="223">
        <v>0</v>
      </c>
    </row>
    <row r="766" spans="1:4">
      <c r="A766" s="107">
        <v>1</v>
      </c>
      <c r="B766" s="1325"/>
      <c r="C766" t="s">
        <v>421</v>
      </c>
      <c r="D766" s="223">
        <v>0</v>
      </c>
    </row>
    <row r="767" spans="1:4">
      <c r="A767" s="107">
        <v>2</v>
      </c>
      <c r="B767" s="1323" t="s">
        <v>854</v>
      </c>
      <c r="C767" t="s">
        <v>444</v>
      </c>
      <c r="D767" s="223">
        <v>0</v>
      </c>
    </row>
    <row r="768" spans="1:4">
      <c r="A768" s="107">
        <v>2</v>
      </c>
      <c r="B768" s="1324"/>
      <c r="C768" t="s">
        <v>445</v>
      </c>
      <c r="D768" s="223">
        <v>0</v>
      </c>
    </row>
    <row r="769" spans="1:4">
      <c r="A769" s="107">
        <v>2</v>
      </c>
      <c r="B769" s="1324"/>
      <c r="C769" t="s">
        <v>446</v>
      </c>
      <c r="D769" s="223">
        <v>20259.900000000001</v>
      </c>
    </row>
    <row r="770" spans="1:4">
      <c r="A770" s="107">
        <v>2</v>
      </c>
      <c r="B770" s="1324"/>
      <c r="C770" t="s">
        <v>1253</v>
      </c>
      <c r="D770" s="223">
        <v>0</v>
      </c>
    </row>
    <row r="771" spans="1:4">
      <c r="A771" s="107">
        <v>2</v>
      </c>
      <c r="B771" s="1324"/>
      <c r="C771" t="s">
        <v>421</v>
      </c>
      <c r="D771" s="223">
        <v>0</v>
      </c>
    </row>
    <row r="772" spans="1:4">
      <c r="A772" s="107">
        <v>1</v>
      </c>
      <c r="B772" s="1323" t="s">
        <v>855</v>
      </c>
      <c r="C772" t="s">
        <v>444</v>
      </c>
      <c r="D772" s="223">
        <v>0</v>
      </c>
    </row>
    <row r="773" spans="1:4">
      <c r="A773" s="107">
        <v>1</v>
      </c>
      <c r="B773" s="1324"/>
      <c r="C773" t="s">
        <v>445</v>
      </c>
      <c r="D773" s="223">
        <v>0</v>
      </c>
    </row>
    <row r="774" spans="1:4">
      <c r="A774" s="107">
        <v>1</v>
      </c>
      <c r="B774" s="1324"/>
      <c r="C774" t="s">
        <v>446</v>
      </c>
      <c r="D774" s="223">
        <v>9839.7000000000007</v>
      </c>
    </row>
    <row r="775" spans="1:4">
      <c r="A775" s="107">
        <v>1</v>
      </c>
      <c r="B775" s="1324"/>
      <c r="C775" t="s">
        <v>1253</v>
      </c>
      <c r="D775" s="223">
        <v>0</v>
      </c>
    </row>
    <row r="776" spans="1:4">
      <c r="A776" s="107">
        <v>1</v>
      </c>
      <c r="B776" s="1324"/>
      <c r="C776" t="s">
        <v>421</v>
      </c>
      <c r="D776" s="223">
        <v>0</v>
      </c>
    </row>
    <row r="777" spans="1:4">
      <c r="A777" s="107">
        <v>1</v>
      </c>
      <c r="B777" s="1323" t="s">
        <v>856</v>
      </c>
      <c r="C777" t="s">
        <v>444</v>
      </c>
      <c r="D777" s="223">
        <v>37938.699999999997</v>
      </c>
    </row>
    <row r="778" spans="1:4">
      <c r="A778" s="107">
        <v>1</v>
      </c>
      <c r="B778" s="1324"/>
      <c r="C778" t="s">
        <v>445</v>
      </c>
      <c r="D778" s="223">
        <v>147971.5</v>
      </c>
    </row>
    <row r="779" spans="1:4">
      <c r="A779" s="107">
        <v>1</v>
      </c>
      <c r="B779" s="1324"/>
      <c r="C779" t="s">
        <v>446</v>
      </c>
      <c r="D779" s="223">
        <v>799</v>
      </c>
    </row>
    <row r="780" spans="1:4">
      <c r="A780" s="107">
        <v>1</v>
      </c>
      <c r="B780" s="1324"/>
      <c r="C780" t="s">
        <v>1253</v>
      </c>
      <c r="D780" s="223">
        <v>0</v>
      </c>
    </row>
    <row r="781" spans="1:4">
      <c r="A781" s="107">
        <v>1</v>
      </c>
      <c r="B781" s="1324"/>
      <c r="C781" t="s">
        <v>421</v>
      </c>
      <c r="D781" s="223">
        <v>0</v>
      </c>
    </row>
    <row r="782" spans="1:4">
      <c r="A782" s="107">
        <v>2</v>
      </c>
      <c r="B782" s="1323" t="s">
        <v>857</v>
      </c>
      <c r="C782" t="s">
        <v>444</v>
      </c>
      <c r="D782" s="223">
        <v>15782.7</v>
      </c>
    </row>
    <row r="783" spans="1:4">
      <c r="A783" s="107">
        <v>2</v>
      </c>
      <c r="B783" s="1324"/>
      <c r="C783" t="s">
        <v>445</v>
      </c>
      <c r="D783" s="223">
        <v>0</v>
      </c>
    </row>
    <row r="784" spans="1:4">
      <c r="A784" s="107">
        <v>2</v>
      </c>
      <c r="B784" s="1324"/>
      <c r="C784" t="s">
        <v>446</v>
      </c>
      <c r="D784" s="223">
        <v>859088.3</v>
      </c>
    </row>
    <row r="785" spans="1:4">
      <c r="A785" s="107">
        <v>2</v>
      </c>
      <c r="B785" s="1324"/>
      <c r="C785" t="s">
        <v>1253</v>
      </c>
      <c r="D785" s="223">
        <v>0</v>
      </c>
    </row>
    <row r="786" spans="1:4">
      <c r="A786" s="107">
        <v>2</v>
      </c>
      <c r="B786" s="1324"/>
      <c r="C786" t="s">
        <v>421</v>
      </c>
      <c r="D786" s="223">
        <v>0</v>
      </c>
    </row>
    <row r="787" spans="1:4">
      <c r="A787" s="107">
        <v>1</v>
      </c>
      <c r="B787" s="1324" t="s">
        <v>1531</v>
      </c>
      <c r="C787" t="s">
        <v>444</v>
      </c>
      <c r="D787" s="223">
        <v>17232.7</v>
      </c>
    </row>
    <row r="788" spans="1:4">
      <c r="A788" s="107">
        <v>1</v>
      </c>
      <c r="B788" s="1324"/>
      <c r="C788" t="s">
        <v>445</v>
      </c>
      <c r="D788" s="223">
        <v>0</v>
      </c>
    </row>
    <row r="789" spans="1:4">
      <c r="A789" s="107">
        <v>1</v>
      </c>
      <c r="B789" s="1324"/>
      <c r="C789" t="s">
        <v>446</v>
      </c>
      <c r="D789" s="223">
        <v>0</v>
      </c>
    </row>
    <row r="790" spans="1:4">
      <c r="A790" s="107">
        <v>1</v>
      </c>
      <c r="B790" s="1324"/>
      <c r="C790" t="s">
        <v>1253</v>
      </c>
      <c r="D790" s="223">
        <v>0</v>
      </c>
    </row>
    <row r="791" spans="1:4">
      <c r="A791" s="107">
        <v>1</v>
      </c>
      <c r="B791" s="1325"/>
      <c r="C791" t="s">
        <v>421</v>
      </c>
      <c r="D791" s="223">
        <v>0</v>
      </c>
    </row>
    <row r="792" spans="1:4">
      <c r="A792" s="107">
        <v>2</v>
      </c>
      <c r="B792" s="1323" t="s">
        <v>858</v>
      </c>
      <c r="C792" t="s">
        <v>444</v>
      </c>
      <c r="D792" s="223">
        <v>0</v>
      </c>
    </row>
    <row r="793" spans="1:4">
      <c r="A793" s="107">
        <v>2</v>
      </c>
      <c r="B793" s="1324"/>
      <c r="C793" t="s">
        <v>445</v>
      </c>
      <c r="D793" s="223">
        <v>0</v>
      </c>
    </row>
    <row r="794" spans="1:4">
      <c r="A794" s="107">
        <v>2</v>
      </c>
      <c r="B794" s="1324"/>
      <c r="C794" t="s">
        <v>446</v>
      </c>
      <c r="D794" s="223">
        <v>42530.8</v>
      </c>
    </row>
    <row r="795" spans="1:4">
      <c r="A795" s="107">
        <v>2</v>
      </c>
      <c r="B795" s="1324"/>
      <c r="C795" t="s">
        <v>1253</v>
      </c>
      <c r="D795" s="223">
        <v>0</v>
      </c>
    </row>
    <row r="796" spans="1:4">
      <c r="A796" s="107">
        <v>2</v>
      </c>
      <c r="B796" s="1324"/>
      <c r="C796" t="s">
        <v>421</v>
      </c>
      <c r="D796" s="223">
        <v>0</v>
      </c>
    </row>
    <row r="797" spans="1:4">
      <c r="A797" s="107">
        <v>2</v>
      </c>
      <c r="B797" s="1323" t="s">
        <v>859</v>
      </c>
      <c r="C797" t="s">
        <v>444</v>
      </c>
      <c r="D797" s="223">
        <v>0</v>
      </c>
    </row>
    <row r="798" spans="1:4">
      <c r="A798" s="107">
        <v>2</v>
      </c>
      <c r="B798" s="1324"/>
      <c r="C798" t="s">
        <v>445</v>
      </c>
      <c r="D798" s="223">
        <v>0</v>
      </c>
    </row>
    <row r="799" spans="1:4">
      <c r="A799" s="107">
        <v>2</v>
      </c>
      <c r="B799" s="1324"/>
      <c r="C799" t="s">
        <v>446</v>
      </c>
      <c r="D799" s="223">
        <v>20605.8</v>
      </c>
    </row>
    <row r="800" spans="1:4">
      <c r="A800" s="107">
        <v>2</v>
      </c>
      <c r="B800" s="1324"/>
      <c r="C800" t="s">
        <v>1253</v>
      </c>
      <c r="D800" s="223">
        <v>0</v>
      </c>
    </row>
    <row r="801" spans="1:4">
      <c r="A801" s="107">
        <v>2</v>
      </c>
      <c r="B801" s="1324"/>
      <c r="C801" t="s">
        <v>421</v>
      </c>
      <c r="D801" s="223">
        <v>0</v>
      </c>
    </row>
    <row r="802" spans="1:4">
      <c r="A802" s="107">
        <v>2</v>
      </c>
      <c r="B802" s="1323" t="s">
        <v>860</v>
      </c>
      <c r="C802" t="s">
        <v>444</v>
      </c>
      <c r="D802" s="223">
        <v>0</v>
      </c>
    </row>
    <row r="803" spans="1:4">
      <c r="A803" s="107">
        <v>2</v>
      </c>
      <c r="B803" s="1324"/>
      <c r="C803" t="s">
        <v>445</v>
      </c>
      <c r="D803" s="223">
        <v>0</v>
      </c>
    </row>
    <row r="804" spans="1:4">
      <c r="A804" s="107">
        <v>2</v>
      </c>
      <c r="B804" s="1324"/>
      <c r="C804" t="s">
        <v>446</v>
      </c>
      <c r="D804" s="223">
        <v>308662.5</v>
      </c>
    </row>
    <row r="805" spans="1:4">
      <c r="A805" s="107">
        <v>2</v>
      </c>
      <c r="B805" s="1324"/>
      <c r="C805" t="s">
        <v>1253</v>
      </c>
      <c r="D805" s="223">
        <v>0</v>
      </c>
    </row>
    <row r="806" spans="1:4">
      <c r="A806" s="107">
        <v>2</v>
      </c>
      <c r="B806" s="1324"/>
      <c r="C806" t="s">
        <v>421</v>
      </c>
      <c r="D806" s="223">
        <v>0</v>
      </c>
    </row>
    <row r="807" spans="1:4">
      <c r="A807" s="107">
        <v>2</v>
      </c>
      <c r="B807" s="1323" t="s">
        <v>861</v>
      </c>
      <c r="C807" t="s">
        <v>444</v>
      </c>
      <c r="D807" s="223">
        <v>26423.8</v>
      </c>
    </row>
    <row r="808" spans="1:4">
      <c r="A808" s="107">
        <v>2</v>
      </c>
      <c r="B808" s="1324"/>
      <c r="C808" t="s">
        <v>445</v>
      </c>
      <c r="D808" s="223">
        <v>0</v>
      </c>
    </row>
    <row r="809" spans="1:4">
      <c r="A809" s="107">
        <v>2</v>
      </c>
      <c r="B809" s="1324"/>
      <c r="C809" t="s">
        <v>446</v>
      </c>
      <c r="D809" s="223">
        <v>10427.9</v>
      </c>
    </row>
    <row r="810" spans="1:4">
      <c r="A810" s="107">
        <v>2</v>
      </c>
      <c r="B810" s="1324"/>
      <c r="C810" t="s">
        <v>1253</v>
      </c>
      <c r="D810" s="223">
        <v>0</v>
      </c>
    </row>
    <row r="811" spans="1:4">
      <c r="A811" s="107">
        <v>2</v>
      </c>
      <c r="B811" s="1325"/>
      <c r="C811" t="s">
        <v>421</v>
      </c>
      <c r="D811" s="223">
        <v>0</v>
      </c>
    </row>
    <row r="812" spans="1:4">
      <c r="A812" s="107">
        <v>2</v>
      </c>
      <c r="B812" s="1323" t="s">
        <v>862</v>
      </c>
      <c r="C812" t="s">
        <v>444</v>
      </c>
      <c r="D812" s="223">
        <v>0</v>
      </c>
    </row>
    <row r="813" spans="1:4">
      <c r="A813" s="107">
        <v>2</v>
      </c>
      <c r="B813" s="1324"/>
      <c r="C813" t="s">
        <v>445</v>
      </c>
      <c r="D813" s="223">
        <v>0</v>
      </c>
    </row>
    <row r="814" spans="1:4">
      <c r="A814" s="107">
        <v>2</v>
      </c>
      <c r="B814" s="1324"/>
      <c r="C814" t="s">
        <v>446</v>
      </c>
      <c r="D814" s="223">
        <v>252135.5</v>
      </c>
    </row>
    <row r="815" spans="1:4">
      <c r="A815" s="107">
        <v>2</v>
      </c>
      <c r="B815" s="1324"/>
      <c r="C815" t="s">
        <v>1253</v>
      </c>
      <c r="D815" s="223">
        <v>0</v>
      </c>
    </row>
    <row r="816" spans="1:4">
      <c r="A816" s="107">
        <v>2</v>
      </c>
      <c r="B816" s="1324"/>
      <c r="C816" t="s">
        <v>421</v>
      </c>
      <c r="D816" s="223">
        <v>0</v>
      </c>
    </row>
    <row r="817" spans="1:4">
      <c r="A817" s="107">
        <v>2</v>
      </c>
      <c r="B817" s="1323" t="s">
        <v>863</v>
      </c>
      <c r="C817" t="s">
        <v>444</v>
      </c>
      <c r="D817" s="223">
        <v>0</v>
      </c>
    </row>
    <row r="818" spans="1:4">
      <c r="A818" s="107">
        <v>2</v>
      </c>
      <c r="B818" s="1324"/>
      <c r="C818" t="s">
        <v>445</v>
      </c>
      <c r="D818" s="223">
        <v>0</v>
      </c>
    </row>
    <row r="819" spans="1:4">
      <c r="A819" s="107">
        <v>2</v>
      </c>
      <c r="B819" s="1324"/>
      <c r="C819" t="s">
        <v>446</v>
      </c>
      <c r="D819" s="223">
        <v>242597.2</v>
      </c>
    </row>
    <row r="820" spans="1:4">
      <c r="A820" s="107">
        <v>2</v>
      </c>
      <c r="B820" s="1324"/>
      <c r="C820" t="s">
        <v>1253</v>
      </c>
      <c r="D820" s="223">
        <v>0</v>
      </c>
    </row>
    <row r="821" spans="1:4">
      <c r="A821" s="107">
        <v>2</v>
      </c>
      <c r="B821" s="1324"/>
      <c r="C821" t="s">
        <v>421</v>
      </c>
      <c r="D821" s="223">
        <v>0</v>
      </c>
    </row>
    <row r="822" spans="1:4">
      <c r="A822" s="107">
        <v>9</v>
      </c>
      <c r="B822" s="1324" t="s">
        <v>1533</v>
      </c>
      <c r="C822" t="s">
        <v>444</v>
      </c>
      <c r="D822" s="223">
        <v>0</v>
      </c>
    </row>
    <row r="823" spans="1:4">
      <c r="A823" s="107">
        <v>9</v>
      </c>
      <c r="B823" s="1324"/>
      <c r="C823" t="s">
        <v>445</v>
      </c>
      <c r="D823" s="223">
        <v>0</v>
      </c>
    </row>
    <row r="824" spans="1:4">
      <c r="A824" s="107">
        <v>9</v>
      </c>
      <c r="B824" s="1324"/>
      <c r="C824" t="s">
        <v>446</v>
      </c>
      <c r="D824" s="223">
        <v>36998</v>
      </c>
    </row>
    <row r="825" spans="1:4">
      <c r="A825" s="107">
        <v>9</v>
      </c>
      <c r="B825" s="1324"/>
      <c r="C825" t="s">
        <v>1253</v>
      </c>
      <c r="D825" s="223">
        <v>0</v>
      </c>
    </row>
    <row r="826" spans="1:4">
      <c r="A826" s="107">
        <v>9</v>
      </c>
      <c r="B826" s="1324"/>
      <c r="C826" t="s">
        <v>421</v>
      </c>
      <c r="D826" s="223">
        <v>0</v>
      </c>
    </row>
    <row r="827" spans="1:4">
      <c r="A827" s="107">
        <v>2</v>
      </c>
      <c r="B827" s="1324" t="s">
        <v>1534</v>
      </c>
      <c r="C827" t="s">
        <v>444</v>
      </c>
      <c r="D827" s="223">
        <v>0</v>
      </c>
    </row>
    <row r="828" spans="1:4">
      <c r="A828" s="107">
        <v>2</v>
      </c>
      <c r="B828" s="1324"/>
      <c r="C828" t="s">
        <v>445</v>
      </c>
      <c r="D828" s="223">
        <v>0</v>
      </c>
    </row>
    <row r="829" spans="1:4">
      <c r="A829" s="107">
        <v>2</v>
      </c>
      <c r="B829" s="1324"/>
      <c r="C829" t="s">
        <v>446</v>
      </c>
      <c r="D829" s="223">
        <v>66548.3</v>
      </c>
    </row>
    <row r="830" spans="1:4">
      <c r="A830" s="107">
        <v>2</v>
      </c>
      <c r="B830" s="1324"/>
      <c r="C830" t="s">
        <v>1253</v>
      </c>
      <c r="D830" s="223">
        <v>0</v>
      </c>
    </row>
    <row r="831" spans="1:4">
      <c r="A831" s="107">
        <v>2</v>
      </c>
      <c r="B831" s="1324"/>
      <c r="C831" t="s">
        <v>421</v>
      </c>
      <c r="D831" s="223">
        <v>0</v>
      </c>
    </row>
    <row r="832" spans="1:4">
      <c r="A832" s="107">
        <v>2</v>
      </c>
      <c r="B832" s="1324" t="s">
        <v>1535</v>
      </c>
      <c r="C832" t="s">
        <v>444</v>
      </c>
      <c r="D832" s="223">
        <v>0</v>
      </c>
    </row>
    <row r="833" spans="1:4">
      <c r="A833" s="107">
        <v>2</v>
      </c>
      <c r="B833" s="1324"/>
      <c r="C833" t="s">
        <v>445</v>
      </c>
      <c r="D833" s="223">
        <v>0</v>
      </c>
    </row>
    <row r="834" spans="1:4">
      <c r="A834" s="107">
        <v>2</v>
      </c>
      <c r="B834" s="1324"/>
      <c r="C834" t="s">
        <v>446</v>
      </c>
      <c r="D834" s="223">
        <v>87477.8</v>
      </c>
    </row>
    <row r="835" spans="1:4">
      <c r="A835" s="107">
        <v>2</v>
      </c>
      <c r="B835" s="1324"/>
      <c r="C835" t="s">
        <v>1253</v>
      </c>
      <c r="D835" s="223">
        <v>0</v>
      </c>
    </row>
    <row r="836" spans="1:4">
      <c r="A836" s="107">
        <v>2</v>
      </c>
      <c r="B836" s="1325"/>
      <c r="C836" t="s">
        <v>421</v>
      </c>
      <c r="D836" s="223">
        <v>0</v>
      </c>
    </row>
    <row r="837" spans="1:4">
      <c r="A837" s="107">
        <v>2</v>
      </c>
      <c r="B837" s="1323" t="s">
        <v>2121</v>
      </c>
      <c r="C837" t="s">
        <v>444</v>
      </c>
      <c r="D837" s="223">
        <v>0</v>
      </c>
    </row>
    <row r="838" spans="1:4">
      <c r="A838" s="107">
        <v>2</v>
      </c>
      <c r="B838" s="1324"/>
      <c r="C838" t="s">
        <v>445</v>
      </c>
      <c r="D838" s="223">
        <v>0</v>
      </c>
    </row>
    <row r="839" spans="1:4">
      <c r="A839" s="107">
        <v>2</v>
      </c>
      <c r="B839" s="1324"/>
      <c r="C839" t="s">
        <v>446</v>
      </c>
      <c r="D839" s="223">
        <v>15800.2</v>
      </c>
    </row>
    <row r="840" spans="1:4">
      <c r="A840" s="107">
        <v>2</v>
      </c>
      <c r="B840" s="1324"/>
      <c r="C840" t="s">
        <v>1253</v>
      </c>
      <c r="D840" s="223">
        <v>0</v>
      </c>
    </row>
    <row r="841" spans="1:4">
      <c r="A841" s="107">
        <v>2</v>
      </c>
      <c r="B841" s="1325"/>
      <c r="C841" t="s">
        <v>421</v>
      </c>
      <c r="D841" s="223">
        <v>0</v>
      </c>
    </row>
    <row r="842" spans="1:4">
      <c r="A842" s="107">
        <v>2</v>
      </c>
      <c r="B842" s="1323" t="s">
        <v>2122</v>
      </c>
      <c r="C842" t="s">
        <v>444</v>
      </c>
      <c r="D842" s="223">
        <v>19174.7</v>
      </c>
    </row>
    <row r="843" spans="1:4">
      <c r="A843" s="107">
        <v>2</v>
      </c>
      <c r="B843" s="1324"/>
      <c r="C843" t="s">
        <v>445</v>
      </c>
      <c r="D843" s="223">
        <v>25758.7</v>
      </c>
    </row>
    <row r="844" spans="1:4">
      <c r="A844" s="107">
        <v>2</v>
      </c>
      <c r="B844" s="1324"/>
      <c r="C844" t="s">
        <v>446</v>
      </c>
      <c r="D844" s="223">
        <v>0</v>
      </c>
    </row>
    <row r="845" spans="1:4">
      <c r="A845" s="107">
        <v>2</v>
      </c>
      <c r="B845" s="1324"/>
      <c r="C845" t="s">
        <v>1253</v>
      </c>
      <c r="D845" s="223">
        <v>0</v>
      </c>
    </row>
    <row r="846" spans="1:4">
      <c r="A846" s="107">
        <v>2</v>
      </c>
      <c r="B846" s="1324"/>
      <c r="C846" t="s">
        <v>421</v>
      </c>
      <c r="D846" s="223">
        <v>0</v>
      </c>
    </row>
    <row r="847" spans="1:4">
      <c r="A847" s="107">
        <v>1</v>
      </c>
      <c r="B847" s="1324" t="s">
        <v>2123</v>
      </c>
      <c r="C847" t="s">
        <v>444</v>
      </c>
      <c r="D847" s="223">
        <v>40255.599999999999</v>
      </c>
    </row>
    <row r="848" spans="1:4">
      <c r="A848" s="107">
        <v>1</v>
      </c>
      <c r="B848" s="1324"/>
      <c r="C848" t="s">
        <v>445</v>
      </c>
      <c r="D848" s="223">
        <v>43193.9</v>
      </c>
    </row>
    <row r="849" spans="1:4">
      <c r="A849" s="107">
        <v>1</v>
      </c>
      <c r="B849" s="1324"/>
      <c r="C849" t="s">
        <v>446</v>
      </c>
      <c r="D849" s="223">
        <v>3889.1</v>
      </c>
    </row>
    <row r="850" spans="1:4">
      <c r="A850" s="107">
        <v>1</v>
      </c>
      <c r="B850" s="1324"/>
      <c r="C850" t="s">
        <v>1253</v>
      </c>
      <c r="D850" s="223">
        <v>0</v>
      </c>
    </row>
    <row r="851" spans="1:4">
      <c r="A851" s="107">
        <v>1</v>
      </c>
      <c r="B851" s="1324"/>
      <c r="C851" t="s">
        <v>421</v>
      </c>
      <c r="D851" s="223">
        <v>0</v>
      </c>
    </row>
    <row r="852" spans="1:4">
      <c r="A852" s="107">
        <v>2</v>
      </c>
      <c r="B852" s="1324" t="s">
        <v>2124</v>
      </c>
      <c r="C852" t="s">
        <v>444</v>
      </c>
      <c r="D852" s="223">
        <v>0</v>
      </c>
    </row>
    <row r="853" spans="1:4">
      <c r="A853" s="107">
        <v>2</v>
      </c>
      <c r="B853" s="1324"/>
      <c r="C853" t="s">
        <v>445</v>
      </c>
      <c r="D853" s="223">
        <v>0</v>
      </c>
    </row>
    <row r="854" spans="1:4">
      <c r="A854" s="107">
        <v>2</v>
      </c>
      <c r="B854" s="1324"/>
      <c r="C854" t="s">
        <v>446</v>
      </c>
      <c r="D854" s="223">
        <v>18698.8</v>
      </c>
    </row>
    <row r="855" spans="1:4">
      <c r="A855" s="107">
        <v>2</v>
      </c>
      <c r="B855" s="1324"/>
      <c r="C855" t="s">
        <v>1253</v>
      </c>
      <c r="D855" s="223">
        <v>0</v>
      </c>
    </row>
    <row r="856" spans="1:4">
      <c r="A856" s="107">
        <v>2</v>
      </c>
      <c r="B856" s="1324"/>
      <c r="C856" t="s">
        <v>421</v>
      </c>
      <c r="D856" s="223">
        <v>0</v>
      </c>
    </row>
    <row r="857" spans="1:4">
      <c r="A857" s="107">
        <v>2</v>
      </c>
      <c r="B857" s="1324" t="s">
        <v>2125</v>
      </c>
      <c r="C857" t="s">
        <v>444</v>
      </c>
      <c r="D857" s="223">
        <v>0</v>
      </c>
    </row>
    <row r="858" spans="1:4">
      <c r="A858" s="107">
        <v>2</v>
      </c>
      <c r="B858" s="1324"/>
      <c r="C858" t="s">
        <v>445</v>
      </c>
      <c r="D858" s="223">
        <v>0</v>
      </c>
    </row>
    <row r="859" spans="1:4">
      <c r="A859" s="107">
        <v>2</v>
      </c>
      <c r="B859" s="1324"/>
      <c r="C859" t="s">
        <v>446</v>
      </c>
      <c r="D859" s="223">
        <v>22367.4</v>
      </c>
    </row>
    <row r="860" spans="1:4">
      <c r="A860" s="107">
        <v>2</v>
      </c>
      <c r="B860" s="1324"/>
      <c r="C860" t="s">
        <v>1253</v>
      </c>
      <c r="D860" s="223">
        <v>0</v>
      </c>
    </row>
    <row r="861" spans="1:4">
      <c r="A861" s="107">
        <v>2</v>
      </c>
      <c r="B861" s="1324"/>
      <c r="C861" t="s">
        <v>421</v>
      </c>
      <c r="D861" s="223">
        <v>0</v>
      </c>
    </row>
    <row r="862" spans="1:4">
      <c r="A862" s="107">
        <v>2</v>
      </c>
      <c r="B862" s="1324" t="s">
        <v>2126</v>
      </c>
      <c r="C862" t="s">
        <v>444</v>
      </c>
      <c r="D862" s="223">
        <v>0</v>
      </c>
    </row>
    <row r="863" spans="1:4">
      <c r="A863" s="107">
        <v>2</v>
      </c>
      <c r="B863" s="1324"/>
      <c r="C863" t="s">
        <v>445</v>
      </c>
      <c r="D863" s="223">
        <v>0</v>
      </c>
    </row>
    <row r="864" spans="1:4">
      <c r="A864" s="107">
        <v>2</v>
      </c>
      <c r="B864" s="1324"/>
      <c r="C864" t="s">
        <v>446</v>
      </c>
      <c r="D864" s="223">
        <v>11517.4</v>
      </c>
    </row>
    <row r="865" spans="1:4">
      <c r="A865" s="107">
        <v>2</v>
      </c>
      <c r="B865" s="1324"/>
      <c r="C865" t="s">
        <v>1253</v>
      </c>
      <c r="D865" s="223">
        <v>0</v>
      </c>
    </row>
    <row r="866" spans="1:4">
      <c r="A866" s="107">
        <v>2</v>
      </c>
      <c r="B866" s="1324"/>
      <c r="C866" t="s">
        <v>421</v>
      </c>
      <c r="D866" s="223">
        <v>0</v>
      </c>
    </row>
    <row r="867" spans="1:4">
      <c r="A867" s="107">
        <v>5</v>
      </c>
      <c r="B867" s="1324" t="s">
        <v>2127</v>
      </c>
      <c r="C867" t="s">
        <v>444</v>
      </c>
      <c r="D867" s="223">
        <v>11062.5</v>
      </c>
    </row>
    <row r="868" spans="1:4">
      <c r="A868" s="107">
        <v>5</v>
      </c>
      <c r="B868" s="1324"/>
      <c r="C868" t="s">
        <v>445</v>
      </c>
      <c r="D868" s="223">
        <v>0</v>
      </c>
    </row>
    <row r="869" spans="1:4">
      <c r="A869" s="107">
        <v>5</v>
      </c>
      <c r="B869" s="1324"/>
      <c r="C869" t="s">
        <v>446</v>
      </c>
      <c r="D869" s="223">
        <v>7629.1</v>
      </c>
    </row>
    <row r="870" spans="1:4">
      <c r="A870" s="107">
        <v>5</v>
      </c>
      <c r="B870" s="1324"/>
      <c r="C870" t="s">
        <v>1253</v>
      </c>
      <c r="D870" s="223">
        <v>0</v>
      </c>
    </row>
    <row r="871" spans="1:4">
      <c r="A871" s="107">
        <v>5</v>
      </c>
      <c r="B871" s="1324"/>
      <c r="C871" t="s">
        <v>421</v>
      </c>
      <c r="D871" s="223">
        <v>0</v>
      </c>
    </row>
    <row r="872" spans="1:4">
      <c r="A872" s="107">
        <v>1</v>
      </c>
      <c r="B872" s="1324" t="s">
        <v>2128</v>
      </c>
      <c r="C872" t="s">
        <v>444</v>
      </c>
      <c r="D872" s="223">
        <v>0</v>
      </c>
    </row>
    <row r="873" spans="1:4">
      <c r="A873" s="107">
        <v>1</v>
      </c>
      <c r="B873" s="1324"/>
      <c r="C873" t="s">
        <v>445</v>
      </c>
      <c r="D873" s="223">
        <v>24684.7</v>
      </c>
    </row>
    <row r="874" spans="1:4">
      <c r="A874" s="107">
        <v>1</v>
      </c>
      <c r="B874" s="1324"/>
      <c r="C874" t="s">
        <v>446</v>
      </c>
      <c r="D874" s="223">
        <v>0</v>
      </c>
    </row>
    <row r="875" spans="1:4">
      <c r="A875" s="107">
        <v>1</v>
      </c>
      <c r="B875" s="1324"/>
      <c r="C875" t="s">
        <v>1253</v>
      </c>
      <c r="D875" s="223">
        <v>0</v>
      </c>
    </row>
    <row r="876" spans="1:4">
      <c r="A876" s="107">
        <v>1</v>
      </c>
      <c r="B876" s="1324"/>
      <c r="C876" t="s">
        <v>421</v>
      </c>
      <c r="D876" s="223">
        <v>0</v>
      </c>
    </row>
    <row r="877" spans="1:4">
      <c r="A877" s="107">
        <v>1</v>
      </c>
      <c r="B877" s="1324" t="s">
        <v>2129</v>
      </c>
      <c r="C877" t="s">
        <v>444</v>
      </c>
      <c r="D877" s="223">
        <v>0</v>
      </c>
    </row>
    <row r="878" spans="1:4">
      <c r="A878" s="107">
        <v>1</v>
      </c>
      <c r="B878" s="1324"/>
      <c r="C878" t="s">
        <v>445</v>
      </c>
      <c r="D878" s="223">
        <v>0</v>
      </c>
    </row>
    <row r="879" spans="1:4">
      <c r="A879" s="107">
        <v>1</v>
      </c>
      <c r="B879" s="1324"/>
      <c r="C879" t="s">
        <v>446</v>
      </c>
      <c r="D879" s="223">
        <v>4224</v>
      </c>
    </row>
    <row r="880" spans="1:4">
      <c r="A880" s="107">
        <v>1</v>
      </c>
      <c r="B880" s="1324"/>
      <c r="C880" t="s">
        <v>1253</v>
      </c>
      <c r="D880" s="223">
        <v>0</v>
      </c>
    </row>
    <row r="881" spans="1:4">
      <c r="A881" s="107">
        <v>1</v>
      </c>
      <c r="B881" s="1325"/>
      <c r="C881" t="s">
        <v>421</v>
      </c>
      <c r="D881" s="223">
        <v>0</v>
      </c>
    </row>
    <row r="882" spans="1:4" s="645" customFormat="1" ht="12.75" customHeight="1">
      <c r="A882" s="644">
        <v>2</v>
      </c>
      <c r="B882" s="1323" t="s">
        <v>864</v>
      </c>
      <c r="C882" s="645" t="s">
        <v>444</v>
      </c>
      <c r="D882" s="647">
        <v>0</v>
      </c>
    </row>
    <row r="883" spans="1:4">
      <c r="A883" s="107">
        <v>2</v>
      </c>
      <c r="B883" s="1324"/>
      <c r="C883" t="s">
        <v>445</v>
      </c>
      <c r="D883" s="113">
        <v>0</v>
      </c>
    </row>
    <row r="884" spans="1:4">
      <c r="A884" s="107">
        <v>2</v>
      </c>
      <c r="B884" s="1324"/>
      <c r="C884" t="s">
        <v>446</v>
      </c>
      <c r="D884" s="113">
        <v>11360.2</v>
      </c>
    </row>
    <row r="885" spans="1:4">
      <c r="A885" s="107">
        <v>2</v>
      </c>
      <c r="B885" s="1324"/>
      <c r="C885" t="s">
        <v>1253</v>
      </c>
      <c r="D885" s="113">
        <v>0</v>
      </c>
    </row>
    <row r="886" spans="1:4">
      <c r="A886" s="107">
        <v>2</v>
      </c>
      <c r="B886" s="1324"/>
      <c r="C886" t="s">
        <v>421</v>
      </c>
      <c r="D886" s="113">
        <v>0</v>
      </c>
    </row>
    <row r="887" spans="1:4" ht="12.75" customHeight="1">
      <c r="A887" s="107">
        <v>8</v>
      </c>
      <c r="B887" s="1323" t="s">
        <v>865</v>
      </c>
      <c r="C887" t="s">
        <v>444</v>
      </c>
      <c r="D887" s="113">
        <v>1068350.6000000001</v>
      </c>
    </row>
    <row r="888" spans="1:4">
      <c r="A888" s="107">
        <v>8</v>
      </c>
      <c r="B888" s="1324"/>
      <c r="C888" t="s">
        <v>445</v>
      </c>
      <c r="D888" s="113">
        <v>2362302</v>
      </c>
    </row>
    <row r="889" spans="1:4">
      <c r="A889" s="107">
        <v>8</v>
      </c>
      <c r="B889" s="1324"/>
      <c r="C889" t="s">
        <v>446</v>
      </c>
      <c r="D889" s="113">
        <v>10799.6</v>
      </c>
    </row>
    <row r="890" spans="1:4">
      <c r="A890" s="107">
        <v>8</v>
      </c>
      <c r="B890" s="1324"/>
      <c r="C890" t="s">
        <v>1253</v>
      </c>
      <c r="D890" s="113">
        <v>0</v>
      </c>
    </row>
    <row r="891" spans="1:4">
      <c r="A891" s="107">
        <v>8</v>
      </c>
      <c r="B891" s="1324"/>
      <c r="C891" t="s">
        <v>421</v>
      </c>
      <c r="D891" s="113">
        <v>29313.1</v>
      </c>
    </row>
    <row r="892" spans="1:4">
      <c r="A892" s="107">
        <v>1</v>
      </c>
      <c r="B892" s="1323" t="s">
        <v>866</v>
      </c>
      <c r="C892" t="s">
        <v>444</v>
      </c>
      <c r="D892" s="113">
        <v>2456740.2999999998</v>
      </c>
    </row>
    <row r="893" spans="1:4">
      <c r="A893" s="107">
        <v>1</v>
      </c>
      <c r="B893" s="1324"/>
      <c r="C893" t="s">
        <v>445</v>
      </c>
      <c r="D893" s="113">
        <v>1292882.6000000001</v>
      </c>
    </row>
    <row r="894" spans="1:4">
      <c r="A894" s="107">
        <v>1</v>
      </c>
      <c r="B894" s="1324"/>
      <c r="C894" t="s">
        <v>446</v>
      </c>
      <c r="D894" s="113">
        <v>0</v>
      </c>
    </row>
    <row r="895" spans="1:4">
      <c r="A895" s="107">
        <v>1</v>
      </c>
      <c r="B895" s="1324"/>
      <c r="C895" t="s">
        <v>1253</v>
      </c>
      <c r="D895" s="113">
        <v>0</v>
      </c>
    </row>
    <row r="896" spans="1:4">
      <c r="A896" s="107">
        <v>1</v>
      </c>
      <c r="B896" s="1324"/>
      <c r="C896" t="s">
        <v>421</v>
      </c>
      <c r="D896" s="113">
        <v>0</v>
      </c>
    </row>
    <row r="897" spans="1:4">
      <c r="A897" s="107">
        <v>2</v>
      </c>
      <c r="B897" s="1323" t="s">
        <v>867</v>
      </c>
      <c r="C897" t="s">
        <v>444</v>
      </c>
      <c r="D897" s="113">
        <v>0</v>
      </c>
    </row>
    <row r="898" spans="1:4" ht="20.25" customHeight="1">
      <c r="A898" s="107">
        <v>2</v>
      </c>
      <c r="B898" s="1324"/>
      <c r="C898" t="s">
        <v>445</v>
      </c>
      <c r="D898" s="113">
        <v>0</v>
      </c>
    </row>
    <row r="899" spans="1:4" ht="18" customHeight="1">
      <c r="A899" s="107">
        <v>2</v>
      </c>
      <c r="B899" s="1324"/>
      <c r="C899" t="s">
        <v>446</v>
      </c>
      <c r="D899" s="113">
        <v>51442.1</v>
      </c>
    </row>
    <row r="900" spans="1:4">
      <c r="A900" s="107">
        <v>2</v>
      </c>
      <c r="B900" s="1324"/>
      <c r="C900" t="s">
        <v>1253</v>
      </c>
      <c r="D900" s="113">
        <v>0</v>
      </c>
    </row>
    <row r="901" spans="1:4">
      <c r="A901" s="107">
        <v>2</v>
      </c>
      <c r="B901" s="1324"/>
      <c r="C901" t="s">
        <v>421</v>
      </c>
      <c r="D901" s="113">
        <v>0</v>
      </c>
    </row>
    <row r="902" spans="1:4">
      <c r="A902" s="107">
        <v>1</v>
      </c>
      <c r="B902" s="1323" t="s">
        <v>868</v>
      </c>
      <c r="C902" t="s">
        <v>444</v>
      </c>
      <c r="D902" s="113">
        <v>1244285.7</v>
      </c>
    </row>
    <row r="903" spans="1:4">
      <c r="A903" s="107">
        <v>1</v>
      </c>
      <c r="B903" s="1324"/>
      <c r="C903" t="s">
        <v>445</v>
      </c>
      <c r="D903" s="113">
        <v>0</v>
      </c>
    </row>
    <row r="904" spans="1:4">
      <c r="A904" s="107">
        <v>1</v>
      </c>
      <c r="B904" s="1324"/>
      <c r="C904" t="s">
        <v>446</v>
      </c>
      <c r="D904" s="113">
        <v>0</v>
      </c>
    </row>
    <row r="905" spans="1:4">
      <c r="A905" s="107">
        <v>1</v>
      </c>
      <c r="B905" s="1324"/>
      <c r="C905" t="s">
        <v>1253</v>
      </c>
      <c r="D905" s="113">
        <v>0</v>
      </c>
    </row>
    <row r="906" spans="1:4">
      <c r="A906" s="107">
        <v>1</v>
      </c>
      <c r="B906" s="1324"/>
      <c r="C906" t="s">
        <v>421</v>
      </c>
      <c r="D906" s="113">
        <v>11833.2</v>
      </c>
    </row>
    <row r="907" spans="1:4">
      <c r="A907" s="107">
        <v>15</v>
      </c>
      <c r="B907" s="1323" t="s">
        <v>869</v>
      </c>
      <c r="C907" t="s">
        <v>444</v>
      </c>
      <c r="D907" s="113">
        <v>1918132</v>
      </c>
    </row>
    <row r="908" spans="1:4">
      <c r="A908" s="107">
        <v>15</v>
      </c>
      <c r="B908" s="1324"/>
      <c r="C908" t="s">
        <v>445</v>
      </c>
      <c r="D908" s="113">
        <v>5897009</v>
      </c>
    </row>
    <row r="909" spans="1:4">
      <c r="A909" s="107">
        <v>15</v>
      </c>
      <c r="B909" s="1324"/>
      <c r="C909" t="s">
        <v>446</v>
      </c>
      <c r="D909" s="113">
        <v>0</v>
      </c>
    </row>
    <row r="910" spans="1:4">
      <c r="A910" s="107">
        <v>15</v>
      </c>
      <c r="B910" s="1324"/>
      <c r="C910" t="s">
        <v>1253</v>
      </c>
      <c r="D910" s="113">
        <v>0</v>
      </c>
    </row>
    <row r="911" spans="1:4">
      <c r="A911" s="107">
        <v>15</v>
      </c>
      <c r="B911" s="1324"/>
      <c r="C911" t="s">
        <v>421</v>
      </c>
      <c r="D911" s="113">
        <v>0</v>
      </c>
    </row>
    <row r="912" spans="1:4">
      <c r="A912" s="107">
        <v>2</v>
      </c>
      <c r="B912" s="1323" t="s">
        <v>870</v>
      </c>
      <c r="C912" t="s">
        <v>444</v>
      </c>
      <c r="D912" s="113">
        <v>0</v>
      </c>
    </row>
    <row r="913" spans="1:4">
      <c r="A913" s="107">
        <v>2</v>
      </c>
      <c r="B913" s="1324"/>
      <c r="C913" t="s">
        <v>445</v>
      </c>
      <c r="D913" s="113">
        <v>0</v>
      </c>
    </row>
    <row r="914" spans="1:4">
      <c r="A914" s="107">
        <v>2</v>
      </c>
      <c r="B914" s="1324"/>
      <c r="C914" t="s">
        <v>446</v>
      </c>
      <c r="D914" s="113">
        <v>70252</v>
      </c>
    </row>
    <row r="915" spans="1:4">
      <c r="A915" s="107">
        <v>2</v>
      </c>
      <c r="B915" s="1324"/>
      <c r="C915" t="s">
        <v>1253</v>
      </c>
      <c r="D915" s="113">
        <v>0</v>
      </c>
    </row>
    <row r="916" spans="1:4">
      <c r="A916" s="107">
        <v>2</v>
      </c>
      <c r="B916" s="1324"/>
      <c r="C916" t="s">
        <v>421</v>
      </c>
      <c r="D916" s="113">
        <v>0</v>
      </c>
    </row>
    <row r="917" spans="1:4">
      <c r="A917" s="107">
        <v>2</v>
      </c>
      <c r="B917" s="1323" t="s">
        <v>871</v>
      </c>
      <c r="C917" t="s">
        <v>444</v>
      </c>
      <c r="D917" s="113">
        <v>0</v>
      </c>
    </row>
    <row r="918" spans="1:4">
      <c r="A918" s="107">
        <v>2</v>
      </c>
      <c r="B918" s="1324"/>
      <c r="C918" t="s">
        <v>445</v>
      </c>
      <c r="D918" s="113">
        <v>0</v>
      </c>
    </row>
    <row r="919" spans="1:4">
      <c r="A919" s="107">
        <v>2</v>
      </c>
      <c r="B919" s="1324"/>
      <c r="C919" t="s">
        <v>446</v>
      </c>
      <c r="D919" s="113">
        <v>33200.6</v>
      </c>
    </row>
    <row r="920" spans="1:4">
      <c r="A920" s="107">
        <v>2</v>
      </c>
      <c r="B920" s="1324"/>
      <c r="C920" t="s">
        <v>1253</v>
      </c>
      <c r="D920" s="113">
        <v>0</v>
      </c>
    </row>
    <row r="921" spans="1:4">
      <c r="A921" s="107">
        <v>2</v>
      </c>
      <c r="B921" s="1324"/>
      <c r="C921" t="s">
        <v>421</v>
      </c>
      <c r="D921" s="113">
        <v>0</v>
      </c>
    </row>
    <row r="922" spans="1:4">
      <c r="A922" s="107">
        <v>2</v>
      </c>
      <c r="B922" s="1323" t="s">
        <v>872</v>
      </c>
      <c r="C922" t="s">
        <v>444</v>
      </c>
      <c r="D922" s="113">
        <v>0</v>
      </c>
    </row>
    <row r="923" spans="1:4">
      <c r="A923" s="107">
        <v>2</v>
      </c>
      <c r="B923" s="1324"/>
      <c r="C923" t="s">
        <v>445</v>
      </c>
      <c r="D923" s="113">
        <v>0</v>
      </c>
    </row>
    <row r="924" spans="1:4">
      <c r="A924" s="107">
        <v>2</v>
      </c>
      <c r="B924" s="1324"/>
      <c r="C924" t="s">
        <v>446</v>
      </c>
      <c r="D924" s="113">
        <v>74045.2</v>
      </c>
    </row>
    <row r="925" spans="1:4">
      <c r="A925" s="107">
        <v>2</v>
      </c>
      <c r="B925" s="1324"/>
      <c r="C925" t="s">
        <v>1253</v>
      </c>
      <c r="D925" s="113">
        <v>0</v>
      </c>
    </row>
    <row r="926" spans="1:4">
      <c r="A926" s="107">
        <v>2</v>
      </c>
      <c r="B926" s="1324"/>
      <c r="C926" t="s">
        <v>421</v>
      </c>
      <c r="D926" s="113">
        <v>0</v>
      </c>
    </row>
    <row r="927" spans="1:4">
      <c r="A927" s="107">
        <v>2</v>
      </c>
      <c r="B927" s="1323" t="s">
        <v>873</v>
      </c>
      <c r="C927" t="s">
        <v>444</v>
      </c>
      <c r="D927" s="113">
        <v>0</v>
      </c>
    </row>
    <row r="928" spans="1:4">
      <c r="A928" s="107">
        <v>2</v>
      </c>
      <c r="B928" s="1324"/>
      <c r="C928" t="s">
        <v>445</v>
      </c>
      <c r="D928" s="113">
        <v>0</v>
      </c>
    </row>
    <row r="929" spans="1:4">
      <c r="A929" s="107">
        <v>2</v>
      </c>
      <c r="B929" s="1324"/>
      <c r="C929" t="s">
        <v>446</v>
      </c>
      <c r="D929" s="113">
        <v>89351.6</v>
      </c>
    </row>
    <row r="930" spans="1:4">
      <c r="A930" s="107">
        <v>2</v>
      </c>
      <c r="B930" s="1324"/>
      <c r="C930" t="s">
        <v>1253</v>
      </c>
      <c r="D930" s="113">
        <v>0</v>
      </c>
    </row>
    <row r="931" spans="1:4">
      <c r="A931" s="107">
        <v>2</v>
      </c>
      <c r="B931" s="1324"/>
      <c r="C931" t="s">
        <v>421</v>
      </c>
      <c r="D931" s="113">
        <v>0</v>
      </c>
    </row>
    <row r="932" spans="1:4">
      <c r="A932" s="107">
        <v>2</v>
      </c>
      <c r="B932" s="1323" t="s">
        <v>874</v>
      </c>
      <c r="C932" t="s">
        <v>444</v>
      </c>
      <c r="D932" s="113">
        <v>0</v>
      </c>
    </row>
    <row r="933" spans="1:4">
      <c r="A933" s="107">
        <v>2</v>
      </c>
      <c r="B933" s="1324"/>
      <c r="C933" t="s">
        <v>445</v>
      </c>
      <c r="D933" s="113">
        <v>0</v>
      </c>
    </row>
    <row r="934" spans="1:4">
      <c r="A934" s="107">
        <v>2</v>
      </c>
      <c r="B934" s="1324"/>
      <c r="C934" t="s">
        <v>446</v>
      </c>
      <c r="D934" s="113">
        <v>97947.8</v>
      </c>
    </row>
    <row r="935" spans="1:4">
      <c r="A935" s="107">
        <v>2</v>
      </c>
      <c r="B935" s="1324"/>
      <c r="C935" t="s">
        <v>1253</v>
      </c>
      <c r="D935" s="113">
        <v>0</v>
      </c>
    </row>
    <row r="936" spans="1:4">
      <c r="A936" s="107">
        <v>2</v>
      </c>
      <c r="B936" s="1324"/>
      <c r="C936" t="s">
        <v>421</v>
      </c>
      <c r="D936" s="113">
        <v>0</v>
      </c>
    </row>
    <row r="937" spans="1:4">
      <c r="A937" s="107">
        <v>1</v>
      </c>
      <c r="B937" s="1323" t="s">
        <v>875</v>
      </c>
      <c r="C937" t="s">
        <v>444</v>
      </c>
      <c r="D937" s="113">
        <v>1637702.6</v>
      </c>
    </row>
    <row r="938" spans="1:4">
      <c r="A938" s="107">
        <v>1</v>
      </c>
      <c r="B938" s="1324"/>
      <c r="C938" t="s">
        <v>445</v>
      </c>
      <c r="D938" s="113">
        <v>180116.3</v>
      </c>
    </row>
    <row r="939" spans="1:4">
      <c r="A939" s="107">
        <v>1</v>
      </c>
      <c r="B939" s="1324"/>
      <c r="C939" t="s">
        <v>446</v>
      </c>
      <c r="D939" s="113">
        <v>0</v>
      </c>
    </row>
    <row r="940" spans="1:4">
      <c r="A940" s="107">
        <v>1</v>
      </c>
      <c r="B940" s="1324"/>
      <c r="C940" t="s">
        <v>1253</v>
      </c>
      <c r="D940" s="113">
        <v>0</v>
      </c>
    </row>
    <row r="941" spans="1:4">
      <c r="A941" s="107">
        <v>1</v>
      </c>
      <c r="B941" s="1324"/>
      <c r="C941" t="s">
        <v>421</v>
      </c>
      <c r="D941" s="113">
        <v>0</v>
      </c>
    </row>
    <row r="942" spans="1:4">
      <c r="A942" s="107">
        <v>15</v>
      </c>
      <c r="B942" s="1323" t="s">
        <v>876</v>
      </c>
      <c r="C942" t="s">
        <v>444</v>
      </c>
      <c r="D942" s="113">
        <v>1285549.5</v>
      </c>
    </row>
    <row r="943" spans="1:4">
      <c r="A943" s="107">
        <v>15</v>
      </c>
      <c r="B943" s="1324"/>
      <c r="C943" t="s">
        <v>445</v>
      </c>
      <c r="D943" s="113">
        <v>2697725.9</v>
      </c>
    </row>
    <row r="944" spans="1:4">
      <c r="A944" s="107">
        <v>15</v>
      </c>
      <c r="B944" s="1324"/>
      <c r="C944" t="s">
        <v>446</v>
      </c>
      <c r="D944" s="113">
        <v>0</v>
      </c>
    </row>
    <row r="945" spans="1:4">
      <c r="A945" s="107">
        <v>15</v>
      </c>
      <c r="B945" s="1324"/>
      <c r="C945" t="s">
        <v>1253</v>
      </c>
      <c r="D945" s="113">
        <v>0</v>
      </c>
    </row>
    <row r="946" spans="1:4">
      <c r="A946" s="107">
        <v>15</v>
      </c>
      <c r="B946" s="1324"/>
      <c r="C946" t="s">
        <v>421</v>
      </c>
      <c r="D946" s="113">
        <v>0</v>
      </c>
    </row>
    <row r="947" spans="1:4">
      <c r="A947" s="107">
        <v>4</v>
      </c>
      <c r="B947" s="1323" t="s">
        <v>877</v>
      </c>
      <c r="C947" t="s">
        <v>444</v>
      </c>
      <c r="D947" s="113">
        <v>981957</v>
      </c>
    </row>
    <row r="948" spans="1:4">
      <c r="A948" s="107">
        <v>4</v>
      </c>
      <c r="B948" s="1324"/>
      <c r="C948" t="s">
        <v>445</v>
      </c>
      <c r="D948" s="113">
        <v>3896.2</v>
      </c>
    </row>
    <row r="949" spans="1:4">
      <c r="A949" s="107">
        <v>4</v>
      </c>
      <c r="B949" s="1324"/>
      <c r="C949" t="s">
        <v>446</v>
      </c>
      <c r="D949" s="113">
        <v>89228</v>
      </c>
    </row>
    <row r="950" spans="1:4">
      <c r="A950" s="107">
        <v>4</v>
      </c>
      <c r="B950" s="1324"/>
      <c r="C950" t="s">
        <v>1253</v>
      </c>
      <c r="D950" s="113">
        <v>0</v>
      </c>
    </row>
    <row r="951" spans="1:4">
      <c r="A951" s="107">
        <v>4</v>
      </c>
      <c r="B951" s="1324"/>
      <c r="C951" t="s">
        <v>421</v>
      </c>
      <c r="D951" s="113">
        <v>0</v>
      </c>
    </row>
    <row r="952" spans="1:4">
      <c r="A952" s="107">
        <v>4</v>
      </c>
      <c r="B952" s="1323" t="s">
        <v>878</v>
      </c>
      <c r="C952" t="s">
        <v>444</v>
      </c>
      <c r="D952" s="113">
        <v>982637.4</v>
      </c>
    </row>
    <row r="953" spans="1:4">
      <c r="A953" s="107">
        <v>4</v>
      </c>
      <c r="B953" s="1324"/>
      <c r="C953" t="s">
        <v>445</v>
      </c>
      <c r="D953" s="113">
        <v>11060.1</v>
      </c>
    </row>
    <row r="954" spans="1:4">
      <c r="A954" s="107">
        <v>4</v>
      </c>
      <c r="B954" s="1324"/>
      <c r="C954" t="s">
        <v>446</v>
      </c>
      <c r="D954" s="113">
        <v>144991.79999999999</v>
      </c>
    </row>
    <row r="955" spans="1:4">
      <c r="A955" s="107">
        <v>4</v>
      </c>
      <c r="B955" s="1324"/>
      <c r="C955" t="s">
        <v>1253</v>
      </c>
      <c r="D955" s="113">
        <v>0</v>
      </c>
    </row>
    <row r="956" spans="1:4">
      <c r="A956" s="107">
        <v>4</v>
      </c>
      <c r="B956" s="1324"/>
      <c r="C956" t="s">
        <v>421</v>
      </c>
      <c r="D956" s="113">
        <v>0</v>
      </c>
    </row>
    <row r="957" spans="1:4" ht="12.75" customHeight="1">
      <c r="A957" s="107">
        <v>1</v>
      </c>
      <c r="B957" s="1323" t="s">
        <v>879</v>
      </c>
      <c r="C957" t="s">
        <v>444</v>
      </c>
      <c r="D957" s="113">
        <v>1240973.6000000001</v>
      </c>
    </row>
    <row r="958" spans="1:4">
      <c r="A958" s="107">
        <v>1</v>
      </c>
      <c r="B958" s="1324"/>
      <c r="C958" t="s">
        <v>445</v>
      </c>
      <c r="D958" s="113">
        <v>56123.1</v>
      </c>
    </row>
    <row r="959" spans="1:4">
      <c r="A959" s="107">
        <v>1</v>
      </c>
      <c r="B959" s="1324"/>
      <c r="C959" t="s">
        <v>446</v>
      </c>
      <c r="D959" s="113">
        <v>78868.399999999994</v>
      </c>
    </row>
    <row r="960" spans="1:4">
      <c r="A960" s="107">
        <v>1</v>
      </c>
      <c r="B960" s="1324"/>
      <c r="C960" t="s">
        <v>1253</v>
      </c>
      <c r="D960" s="113">
        <v>0</v>
      </c>
    </row>
    <row r="961" spans="1:4">
      <c r="A961" s="107">
        <v>1</v>
      </c>
      <c r="B961" s="1324"/>
      <c r="C961" t="s">
        <v>421</v>
      </c>
      <c r="D961" s="113">
        <v>0</v>
      </c>
    </row>
    <row r="962" spans="1:4">
      <c r="A962" s="107">
        <v>4</v>
      </c>
      <c r="B962" s="1323" t="s">
        <v>880</v>
      </c>
      <c r="C962" t="s">
        <v>444</v>
      </c>
      <c r="D962" s="113">
        <v>1709656.5</v>
      </c>
    </row>
    <row r="963" spans="1:4">
      <c r="A963" s="107">
        <v>4</v>
      </c>
      <c r="B963" s="1324"/>
      <c r="C963" t="s">
        <v>445</v>
      </c>
      <c r="D963" s="113">
        <v>71084</v>
      </c>
    </row>
    <row r="964" spans="1:4">
      <c r="A964" s="107">
        <v>4</v>
      </c>
      <c r="B964" s="1324"/>
      <c r="C964" t="s">
        <v>446</v>
      </c>
      <c r="D964" s="113">
        <v>0</v>
      </c>
    </row>
    <row r="965" spans="1:4">
      <c r="A965" s="107">
        <v>4</v>
      </c>
      <c r="B965" s="1324"/>
      <c r="C965" t="s">
        <v>1253</v>
      </c>
      <c r="D965" s="113">
        <v>0</v>
      </c>
    </row>
    <row r="966" spans="1:4">
      <c r="A966" s="107">
        <v>4</v>
      </c>
      <c r="B966" s="1324"/>
      <c r="C966" t="s">
        <v>421</v>
      </c>
      <c r="D966" s="113">
        <v>0</v>
      </c>
    </row>
    <row r="967" spans="1:4">
      <c r="A967" s="107">
        <v>2</v>
      </c>
      <c r="B967" s="1323" t="s">
        <v>881</v>
      </c>
      <c r="C967" t="s">
        <v>444</v>
      </c>
      <c r="D967" s="113">
        <v>0</v>
      </c>
    </row>
    <row r="968" spans="1:4">
      <c r="A968" s="107">
        <v>2</v>
      </c>
      <c r="B968" s="1324"/>
      <c r="C968" t="s">
        <v>445</v>
      </c>
      <c r="D968" s="113">
        <v>0</v>
      </c>
    </row>
    <row r="969" spans="1:4">
      <c r="A969" s="107">
        <v>2</v>
      </c>
      <c r="B969" s="1324"/>
      <c r="C969" t="s">
        <v>446</v>
      </c>
      <c r="D969" s="113">
        <v>6817</v>
      </c>
    </row>
    <row r="970" spans="1:4">
      <c r="A970" s="107">
        <v>2</v>
      </c>
      <c r="B970" s="1324"/>
      <c r="C970" t="s">
        <v>1253</v>
      </c>
      <c r="D970" s="113">
        <v>0</v>
      </c>
    </row>
    <row r="971" spans="1:4">
      <c r="A971" s="107">
        <v>2</v>
      </c>
      <c r="B971" s="1324"/>
      <c r="C971" t="s">
        <v>421</v>
      </c>
      <c r="D971" s="113">
        <v>0</v>
      </c>
    </row>
    <row r="972" spans="1:4" ht="12.75" customHeight="1">
      <c r="A972" s="107">
        <v>1</v>
      </c>
      <c r="B972" s="1323" t="s">
        <v>882</v>
      </c>
      <c r="C972" t="s">
        <v>444</v>
      </c>
      <c r="D972" s="113">
        <v>3078356.4</v>
      </c>
    </row>
    <row r="973" spans="1:4">
      <c r="A973" s="107">
        <v>1</v>
      </c>
      <c r="B973" s="1324"/>
      <c r="C973" t="s">
        <v>445</v>
      </c>
      <c r="D973" s="113">
        <v>1019232.1</v>
      </c>
    </row>
    <row r="974" spans="1:4">
      <c r="A974" s="107">
        <v>1</v>
      </c>
      <c r="B974" s="1324"/>
      <c r="C974" t="s">
        <v>446</v>
      </c>
      <c r="D974" s="113">
        <v>0</v>
      </c>
    </row>
    <row r="975" spans="1:4">
      <c r="A975" s="107">
        <v>1</v>
      </c>
      <c r="B975" s="1324"/>
      <c r="C975" t="s">
        <v>1253</v>
      </c>
      <c r="D975" s="113">
        <v>0</v>
      </c>
    </row>
    <row r="976" spans="1:4">
      <c r="A976" s="107">
        <v>1</v>
      </c>
      <c r="B976" s="1324"/>
      <c r="C976" t="s">
        <v>421</v>
      </c>
      <c r="D976" s="113">
        <v>0</v>
      </c>
    </row>
    <row r="977" spans="1:4" ht="12.75" customHeight="1">
      <c r="A977" s="107">
        <v>2</v>
      </c>
      <c r="B977" s="1323" t="s">
        <v>2130</v>
      </c>
      <c r="C977" t="s">
        <v>444</v>
      </c>
      <c r="D977" s="113">
        <v>0</v>
      </c>
    </row>
    <row r="978" spans="1:4">
      <c r="A978" s="107">
        <v>2</v>
      </c>
      <c r="B978" s="1324"/>
      <c r="C978" t="s">
        <v>445</v>
      </c>
      <c r="D978" s="113">
        <v>0</v>
      </c>
    </row>
    <row r="979" spans="1:4">
      <c r="A979" s="107">
        <v>2</v>
      </c>
      <c r="B979" s="1324"/>
      <c r="C979" t="s">
        <v>446</v>
      </c>
      <c r="D979" s="113">
        <v>6320.7</v>
      </c>
    </row>
    <row r="980" spans="1:4">
      <c r="A980" s="107">
        <v>2</v>
      </c>
      <c r="B980" s="1324"/>
      <c r="C980" t="s">
        <v>1253</v>
      </c>
      <c r="D980" s="113">
        <v>0</v>
      </c>
    </row>
    <row r="981" spans="1:4">
      <c r="A981" s="107">
        <v>2</v>
      </c>
      <c r="B981" s="1324"/>
      <c r="C981" t="s">
        <v>421</v>
      </c>
      <c r="D981" s="113">
        <v>0</v>
      </c>
    </row>
    <row r="982" spans="1:4">
      <c r="A982" s="107">
        <v>1</v>
      </c>
      <c r="B982" s="1323" t="s">
        <v>884</v>
      </c>
      <c r="C982" t="s">
        <v>444</v>
      </c>
      <c r="D982" s="113">
        <v>0</v>
      </c>
    </row>
    <row r="983" spans="1:4">
      <c r="A983" s="107">
        <v>1</v>
      </c>
      <c r="B983" s="1324"/>
      <c r="C983" t="s">
        <v>445</v>
      </c>
      <c r="D983" s="113">
        <v>0</v>
      </c>
    </row>
    <row r="984" spans="1:4">
      <c r="A984" s="107">
        <v>1</v>
      </c>
      <c r="B984" s="1324"/>
      <c r="C984" t="s">
        <v>446</v>
      </c>
      <c r="D984" s="113">
        <v>8742.4</v>
      </c>
    </row>
    <row r="985" spans="1:4">
      <c r="A985" s="107">
        <v>1</v>
      </c>
      <c r="B985" s="1324"/>
      <c r="C985" t="s">
        <v>1253</v>
      </c>
      <c r="D985" s="113">
        <v>0</v>
      </c>
    </row>
    <row r="986" spans="1:4">
      <c r="A986" s="107">
        <v>1</v>
      </c>
      <c r="B986" s="1324"/>
      <c r="C986" t="s">
        <v>421</v>
      </c>
      <c r="D986" s="113">
        <v>0</v>
      </c>
    </row>
    <row r="987" spans="1:4">
      <c r="A987" s="107">
        <v>1</v>
      </c>
      <c r="B987" s="1323" t="s">
        <v>886</v>
      </c>
      <c r="C987" t="s">
        <v>444</v>
      </c>
      <c r="D987" s="113">
        <v>25055.200000000001</v>
      </c>
    </row>
    <row r="988" spans="1:4">
      <c r="A988" s="107">
        <v>1</v>
      </c>
      <c r="B988" s="1324"/>
      <c r="C988" t="s">
        <v>445</v>
      </c>
      <c r="D988" s="113">
        <v>149442.4</v>
      </c>
    </row>
    <row r="989" spans="1:4">
      <c r="A989" s="107">
        <v>1</v>
      </c>
      <c r="B989" s="1324"/>
      <c r="C989" t="s">
        <v>446</v>
      </c>
      <c r="D989" s="113">
        <v>5366.3</v>
      </c>
    </row>
    <row r="990" spans="1:4">
      <c r="A990" s="107">
        <v>1</v>
      </c>
      <c r="B990" s="1324"/>
      <c r="C990" t="s">
        <v>1253</v>
      </c>
      <c r="D990" s="113">
        <v>0</v>
      </c>
    </row>
    <row r="991" spans="1:4">
      <c r="A991" s="107">
        <v>1</v>
      </c>
      <c r="B991" s="1325"/>
      <c r="C991" t="s">
        <v>421</v>
      </c>
      <c r="D991" s="113">
        <v>0</v>
      </c>
    </row>
    <row r="992" spans="1:4">
      <c r="A992" s="107">
        <v>8</v>
      </c>
      <c r="B992" s="1323" t="s">
        <v>887</v>
      </c>
      <c r="C992" t="s">
        <v>444</v>
      </c>
      <c r="D992" s="113">
        <v>1315616.3999999999</v>
      </c>
    </row>
    <row r="993" spans="1:4">
      <c r="A993" s="107">
        <v>8</v>
      </c>
      <c r="B993" s="1324"/>
      <c r="C993" t="s">
        <v>445</v>
      </c>
      <c r="D993" s="113">
        <v>2588725.7000000002</v>
      </c>
    </row>
    <row r="994" spans="1:4">
      <c r="A994" s="107">
        <v>8</v>
      </c>
      <c r="B994" s="1324"/>
      <c r="C994" t="s">
        <v>446</v>
      </c>
      <c r="D994" s="113">
        <v>0</v>
      </c>
    </row>
    <row r="995" spans="1:4">
      <c r="A995" s="107">
        <v>8</v>
      </c>
      <c r="B995" s="1324"/>
      <c r="C995" t="s">
        <v>1253</v>
      </c>
      <c r="D995" s="113">
        <v>0</v>
      </c>
    </row>
    <row r="996" spans="1:4">
      <c r="A996" s="107">
        <v>8</v>
      </c>
      <c r="B996" s="1324"/>
      <c r="C996" t="s">
        <v>421</v>
      </c>
      <c r="D996" s="113">
        <v>0</v>
      </c>
    </row>
    <row r="997" spans="1:4" ht="12.75" customHeight="1">
      <c r="A997" s="107">
        <v>6</v>
      </c>
      <c r="B997" s="1323" t="s">
        <v>888</v>
      </c>
      <c r="C997" t="s">
        <v>444</v>
      </c>
      <c r="D997" s="113">
        <v>0</v>
      </c>
    </row>
    <row r="998" spans="1:4">
      <c r="A998" s="107">
        <v>6</v>
      </c>
      <c r="B998" s="1324"/>
      <c r="C998" t="s">
        <v>445</v>
      </c>
      <c r="D998" s="113">
        <v>0</v>
      </c>
    </row>
    <row r="999" spans="1:4">
      <c r="A999" s="107">
        <v>6</v>
      </c>
      <c r="B999" s="1324"/>
      <c r="C999" t="s">
        <v>446</v>
      </c>
      <c r="D999" s="113">
        <v>4209.8999999999996</v>
      </c>
    </row>
    <row r="1000" spans="1:4">
      <c r="A1000" s="107">
        <v>6</v>
      </c>
      <c r="B1000" s="1324"/>
      <c r="C1000" t="s">
        <v>1253</v>
      </c>
      <c r="D1000" s="113">
        <v>0</v>
      </c>
    </row>
    <row r="1001" spans="1:4">
      <c r="A1001" s="107">
        <v>6</v>
      </c>
      <c r="B1001" s="1324"/>
      <c r="C1001" t="s">
        <v>421</v>
      </c>
      <c r="D1001" s="113">
        <v>0</v>
      </c>
    </row>
    <row r="1002" spans="1:4">
      <c r="A1002" s="107">
        <v>11</v>
      </c>
      <c r="B1002" s="1323" t="s">
        <v>889</v>
      </c>
      <c r="C1002" t="s">
        <v>444</v>
      </c>
      <c r="D1002" s="113">
        <v>1968961.9</v>
      </c>
    </row>
    <row r="1003" spans="1:4">
      <c r="A1003" s="107">
        <v>11</v>
      </c>
      <c r="B1003" s="1324"/>
      <c r="C1003" t="s">
        <v>445</v>
      </c>
      <c r="D1003" s="113">
        <v>5691669.9000000004</v>
      </c>
    </row>
    <row r="1004" spans="1:4">
      <c r="A1004" s="107">
        <v>11</v>
      </c>
      <c r="B1004" s="1324"/>
      <c r="C1004" t="s">
        <v>446</v>
      </c>
      <c r="D1004" s="113">
        <v>0</v>
      </c>
    </row>
    <row r="1005" spans="1:4">
      <c r="A1005" s="107">
        <v>11</v>
      </c>
      <c r="B1005" s="1324"/>
      <c r="C1005" t="s">
        <v>1253</v>
      </c>
      <c r="D1005" s="113">
        <v>0</v>
      </c>
    </row>
    <row r="1006" spans="1:4">
      <c r="A1006" s="107">
        <v>11</v>
      </c>
      <c r="B1006" s="1324"/>
      <c r="C1006" t="s">
        <v>421</v>
      </c>
      <c r="D1006" s="113">
        <v>0</v>
      </c>
    </row>
    <row r="1007" spans="1:4">
      <c r="A1007" s="107">
        <v>1</v>
      </c>
      <c r="B1007" s="1323" t="s">
        <v>890</v>
      </c>
      <c r="C1007" t="s">
        <v>444</v>
      </c>
      <c r="D1007" s="113">
        <v>28351.7</v>
      </c>
    </row>
    <row r="1008" spans="1:4">
      <c r="A1008" s="107">
        <v>1</v>
      </c>
      <c r="B1008" s="1324"/>
      <c r="C1008" t="s">
        <v>445</v>
      </c>
      <c r="D1008" s="113">
        <v>0</v>
      </c>
    </row>
    <row r="1009" spans="1:4">
      <c r="A1009" s="107">
        <v>1</v>
      </c>
      <c r="B1009" s="1324"/>
      <c r="C1009" t="s">
        <v>446</v>
      </c>
      <c r="D1009" s="113">
        <v>2771.2</v>
      </c>
    </row>
    <row r="1010" spans="1:4">
      <c r="A1010" s="107">
        <v>1</v>
      </c>
      <c r="B1010" s="1324"/>
      <c r="C1010" t="s">
        <v>1253</v>
      </c>
      <c r="D1010" s="113">
        <v>0</v>
      </c>
    </row>
    <row r="1011" spans="1:4">
      <c r="A1011" s="107">
        <v>1</v>
      </c>
      <c r="B1011" s="1324"/>
      <c r="C1011" t="s">
        <v>421</v>
      </c>
      <c r="D1011" s="113">
        <v>0</v>
      </c>
    </row>
    <row r="1012" spans="1:4" ht="12.75" customHeight="1">
      <c r="A1012" s="107">
        <v>3</v>
      </c>
      <c r="B1012" s="1323" t="s">
        <v>891</v>
      </c>
      <c r="C1012" t="s">
        <v>444</v>
      </c>
      <c r="D1012" s="113">
        <v>67766.600000000006</v>
      </c>
    </row>
    <row r="1013" spans="1:4">
      <c r="A1013" s="107">
        <v>3</v>
      </c>
      <c r="B1013" s="1324"/>
      <c r="C1013" t="s">
        <v>445</v>
      </c>
      <c r="D1013" s="113">
        <v>0</v>
      </c>
    </row>
    <row r="1014" spans="1:4">
      <c r="A1014" s="107">
        <v>3</v>
      </c>
      <c r="B1014" s="1324"/>
      <c r="C1014" t="s">
        <v>446</v>
      </c>
      <c r="D1014" s="113">
        <v>68582.600000000006</v>
      </c>
    </row>
    <row r="1015" spans="1:4">
      <c r="A1015" s="107">
        <v>3</v>
      </c>
      <c r="B1015" s="1324"/>
      <c r="C1015" t="s">
        <v>1253</v>
      </c>
      <c r="D1015" s="113">
        <v>0</v>
      </c>
    </row>
    <row r="1016" spans="1:4">
      <c r="A1016" s="107">
        <v>3</v>
      </c>
      <c r="B1016" s="1324"/>
      <c r="C1016" t="s">
        <v>421</v>
      </c>
      <c r="D1016" s="113">
        <v>0</v>
      </c>
    </row>
    <row r="1017" spans="1:4" ht="12.75" customHeight="1">
      <c r="A1017" s="107">
        <v>1</v>
      </c>
      <c r="B1017" s="1323" t="s">
        <v>892</v>
      </c>
      <c r="C1017" t="s">
        <v>444</v>
      </c>
      <c r="D1017" s="113">
        <v>468736</v>
      </c>
    </row>
    <row r="1018" spans="1:4">
      <c r="A1018" s="107">
        <v>1</v>
      </c>
      <c r="B1018" s="1324"/>
      <c r="C1018" t="s">
        <v>445</v>
      </c>
      <c r="D1018" s="113">
        <v>1749853</v>
      </c>
    </row>
    <row r="1019" spans="1:4">
      <c r="A1019" s="107">
        <v>1</v>
      </c>
      <c r="B1019" s="1324"/>
      <c r="C1019" t="s">
        <v>446</v>
      </c>
      <c r="D1019" s="113">
        <v>68561</v>
      </c>
    </row>
    <row r="1020" spans="1:4">
      <c r="A1020" s="107">
        <v>1</v>
      </c>
      <c r="B1020" s="1324"/>
      <c r="C1020" t="s">
        <v>1253</v>
      </c>
      <c r="D1020" s="113">
        <v>270777</v>
      </c>
    </row>
    <row r="1021" spans="1:4">
      <c r="A1021" s="107">
        <v>1</v>
      </c>
      <c r="B1021" s="1324"/>
      <c r="C1021" t="s">
        <v>421</v>
      </c>
      <c r="D1021" s="113">
        <v>0</v>
      </c>
    </row>
    <row r="1022" spans="1:4" ht="12.75" customHeight="1">
      <c r="A1022" s="107">
        <v>1</v>
      </c>
      <c r="B1022" s="1323" t="s">
        <v>893</v>
      </c>
      <c r="C1022" t="s">
        <v>444</v>
      </c>
      <c r="D1022" s="113">
        <v>371581.8</v>
      </c>
    </row>
    <row r="1023" spans="1:4">
      <c r="A1023" s="107">
        <v>1</v>
      </c>
      <c r="B1023" s="1324"/>
      <c r="C1023" t="s">
        <v>445</v>
      </c>
      <c r="D1023" s="113">
        <v>0</v>
      </c>
    </row>
    <row r="1024" spans="1:4">
      <c r="A1024" s="107">
        <v>1</v>
      </c>
      <c r="B1024" s="1324"/>
      <c r="C1024" t="s">
        <v>446</v>
      </c>
      <c r="D1024" s="113">
        <v>5683.4</v>
      </c>
    </row>
    <row r="1025" spans="1:4">
      <c r="A1025" s="107">
        <v>1</v>
      </c>
      <c r="B1025" s="1324"/>
      <c r="C1025" t="s">
        <v>1253</v>
      </c>
      <c r="D1025" s="113">
        <v>11633</v>
      </c>
    </row>
    <row r="1026" spans="1:4">
      <c r="A1026" s="107">
        <v>1</v>
      </c>
      <c r="B1026" s="1324"/>
      <c r="C1026" t="s">
        <v>421</v>
      </c>
      <c r="D1026" s="113">
        <v>5168.3999999999996</v>
      </c>
    </row>
    <row r="1027" spans="1:4">
      <c r="A1027" s="107">
        <v>5</v>
      </c>
      <c r="B1027" s="1323" t="s">
        <v>895</v>
      </c>
      <c r="C1027" t="s">
        <v>444</v>
      </c>
      <c r="D1027" s="113">
        <v>0</v>
      </c>
    </row>
    <row r="1028" spans="1:4">
      <c r="A1028" s="107">
        <v>5</v>
      </c>
      <c r="B1028" s="1324"/>
      <c r="C1028" t="s">
        <v>445</v>
      </c>
      <c r="D1028" s="113">
        <v>0</v>
      </c>
    </row>
    <row r="1029" spans="1:4">
      <c r="A1029" s="107">
        <v>5</v>
      </c>
      <c r="B1029" s="1324"/>
      <c r="C1029" t="s">
        <v>446</v>
      </c>
      <c r="D1029" s="113">
        <v>29825</v>
      </c>
    </row>
    <row r="1030" spans="1:4">
      <c r="A1030" s="107">
        <v>5</v>
      </c>
      <c r="B1030" s="1324"/>
      <c r="C1030" t="s">
        <v>1253</v>
      </c>
      <c r="D1030" s="113">
        <v>0</v>
      </c>
    </row>
    <row r="1031" spans="1:4">
      <c r="A1031" s="107">
        <v>5</v>
      </c>
      <c r="B1031" s="1325"/>
      <c r="C1031" t="s">
        <v>421</v>
      </c>
      <c r="D1031" s="113">
        <v>0</v>
      </c>
    </row>
    <row r="1032" spans="1:4">
      <c r="A1032" s="107">
        <v>2</v>
      </c>
      <c r="B1032" s="1323" t="s">
        <v>896</v>
      </c>
      <c r="C1032" t="s">
        <v>444</v>
      </c>
      <c r="D1032" s="113">
        <v>0</v>
      </c>
    </row>
    <row r="1033" spans="1:4">
      <c r="A1033" s="107">
        <v>2</v>
      </c>
      <c r="B1033" s="1324"/>
      <c r="C1033" t="s">
        <v>445</v>
      </c>
      <c r="D1033" s="113">
        <v>0</v>
      </c>
    </row>
    <row r="1034" spans="1:4">
      <c r="A1034" s="107">
        <v>2</v>
      </c>
      <c r="B1034" s="1324"/>
      <c r="C1034" t="s">
        <v>446</v>
      </c>
      <c r="D1034" s="113">
        <v>5621.6</v>
      </c>
    </row>
    <row r="1035" spans="1:4">
      <c r="A1035" s="107">
        <v>2</v>
      </c>
      <c r="B1035" s="1324"/>
      <c r="C1035" t="s">
        <v>1253</v>
      </c>
      <c r="D1035" s="113">
        <v>0</v>
      </c>
    </row>
    <row r="1036" spans="1:4">
      <c r="A1036" s="107">
        <v>2</v>
      </c>
      <c r="B1036" s="1324"/>
      <c r="C1036" t="s">
        <v>421</v>
      </c>
      <c r="D1036" s="113">
        <v>0</v>
      </c>
    </row>
    <row r="1037" spans="1:4" ht="12.75" customHeight="1">
      <c r="A1037" s="107">
        <v>15</v>
      </c>
      <c r="B1037" s="1323" t="s">
        <v>898</v>
      </c>
      <c r="C1037" t="s">
        <v>444</v>
      </c>
      <c r="D1037" s="113">
        <v>103577.7</v>
      </c>
    </row>
    <row r="1038" spans="1:4">
      <c r="A1038" s="107">
        <v>15</v>
      </c>
      <c r="B1038" s="1324"/>
      <c r="C1038" t="s">
        <v>445</v>
      </c>
      <c r="D1038" s="113">
        <v>461214.9</v>
      </c>
    </row>
    <row r="1039" spans="1:4">
      <c r="A1039" s="107">
        <v>15</v>
      </c>
      <c r="B1039" s="1324"/>
      <c r="C1039" t="s">
        <v>446</v>
      </c>
      <c r="D1039" s="113">
        <v>59115.1</v>
      </c>
    </row>
    <row r="1040" spans="1:4">
      <c r="A1040" s="107">
        <v>15</v>
      </c>
      <c r="B1040" s="1324"/>
      <c r="C1040" t="s">
        <v>1253</v>
      </c>
      <c r="D1040" s="113">
        <v>0</v>
      </c>
    </row>
    <row r="1041" spans="1:4">
      <c r="A1041" s="107">
        <v>15</v>
      </c>
      <c r="B1041" s="1324"/>
      <c r="C1041" t="s">
        <v>421</v>
      </c>
      <c r="D1041" s="113">
        <v>0</v>
      </c>
    </row>
    <row r="1042" spans="1:4">
      <c r="A1042" s="107">
        <v>2</v>
      </c>
      <c r="B1042" s="1323" t="s">
        <v>852</v>
      </c>
      <c r="C1042" t="s">
        <v>444</v>
      </c>
      <c r="D1042" s="113">
        <v>0</v>
      </c>
    </row>
    <row r="1043" spans="1:4">
      <c r="A1043" s="107">
        <v>2</v>
      </c>
      <c r="B1043" s="1324"/>
      <c r="C1043" t="s">
        <v>445</v>
      </c>
      <c r="D1043" s="113">
        <v>0</v>
      </c>
    </row>
    <row r="1044" spans="1:4">
      <c r="A1044" s="107">
        <v>2</v>
      </c>
      <c r="B1044" s="1324"/>
      <c r="C1044" t="s">
        <v>446</v>
      </c>
      <c r="D1044" s="113">
        <v>275596</v>
      </c>
    </row>
    <row r="1045" spans="1:4">
      <c r="A1045" s="107">
        <v>2</v>
      </c>
      <c r="B1045" s="1324"/>
      <c r="C1045" t="s">
        <v>1253</v>
      </c>
      <c r="D1045" s="113">
        <v>0</v>
      </c>
    </row>
    <row r="1046" spans="1:4">
      <c r="A1046" s="107">
        <v>2</v>
      </c>
      <c r="B1046" s="1324"/>
      <c r="C1046" t="s">
        <v>421</v>
      </c>
      <c r="D1046" s="113">
        <v>0</v>
      </c>
    </row>
    <row r="1047" spans="1:4">
      <c r="A1047" s="107">
        <v>1</v>
      </c>
      <c r="B1047" s="1323" t="s">
        <v>900</v>
      </c>
      <c r="C1047" t="s">
        <v>444</v>
      </c>
      <c r="D1047" s="113">
        <v>0</v>
      </c>
    </row>
    <row r="1048" spans="1:4">
      <c r="A1048" s="107">
        <v>1</v>
      </c>
      <c r="B1048" s="1324"/>
      <c r="C1048" t="s">
        <v>445</v>
      </c>
      <c r="D1048" s="113">
        <v>0</v>
      </c>
    </row>
    <row r="1049" spans="1:4">
      <c r="A1049" s="107">
        <v>1</v>
      </c>
      <c r="B1049" s="1324"/>
      <c r="C1049" t="s">
        <v>446</v>
      </c>
      <c r="D1049" s="113">
        <v>0</v>
      </c>
    </row>
    <row r="1050" spans="1:4">
      <c r="A1050" s="107">
        <v>1</v>
      </c>
      <c r="B1050" s="1324"/>
      <c r="C1050" t="s">
        <v>1253</v>
      </c>
      <c r="D1050" s="113">
        <v>242013.9</v>
      </c>
    </row>
    <row r="1051" spans="1:4">
      <c r="A1051" s="107">
        <v>1</v>
      </c>
      <c r="B1051" s="1324"/>
      <c r="C1051" t="s">
        <v>421</v>
      </c>
      <c r="D1051" s="113">
        <v>0</v>
      </c>
    </row>
    <row r="1052" spans="1:4">
      <c r="A1052" s="107">
        <v>2</v>
      </c>
      <c r="B1052" s="1323" t="s">
        <v>901</v>
      </c>
      <c r="C1052" t="s">
        <v>444</v>
      </c>
      <c r="D1052" s="113">
        <v>0</v>
      </c>
    </row>
    <row r="1053" spans="1:4">
      <c r="A1053" s="107">
        <v>2</v>
      </c>
      <c r="B1053" s="1324"/>
      <c r="C1053" t="s">
        <v>445</v>
      </c>
      <c r="D1053" s="113">
        <v>0</v>
      </c>
    </row>
    <row r="1054" spans="1:4">
      <c r="A1054" s="107">
        <v>2</v>
      </c>
      <c r="B1054" s="1324"/>
      <c r="C1054" t="s">
        <v>446</v>
      </c>
      <c r="D1054" s="113">
        <v>8379</v>
      </c>
    </row>
    <row r="1055" spans="1:4">
      <c r="A1055" s="107">
        <v>2</v>
      </c>
      <c r="B1055" s="1324"/>
      <c r="C1055" t="s">
        <v>1253</v>
      </c>
      <c r="D1055" s="113">
        <v>0</v>
      </c>
    </row>
    <row r="1056" spans="1:4">
      <c r="A1056" s="107">
        <v>2</v>
      </c>
      <c r="B1056" s="1324"/>
      <c r="C1056" t="s">
        <v>421</v>
      </c>
      <c r="D1056" s="113">
        <v>0</v>
      </c>
    </row>
    <row r="1057" spans="1:4">
      <c r="A1057" s="107">
        <v>10</v>
      </c>
      <c r="B1057" s="1323" t="s">
        <v>902</v>
      </c>
      <c r="C1057" t="s">
        <v>444</v>
      </c>
      <c r="D1057" s="113">
        <v>0</v>
      </c>
    </row>
    <row r="1058" spans="1:4">
      <c r="A1058" s="107">
        <v>10</v>
      </c>
      <c r="B1058" s="1324"/>
      <c r="C1058" t="s">
        <v>445</v>
      </c>
      <c r="D1058" s="113">
        <v>0</v>
      </c>
    </row>
    <row r="1059" spans="1:4">
      <c r="A1059" s="107">
        <v>10</v>
      </c>
      <c r="B1059" s="1324"/>
      <c r="C1059" t="s">
        <v>446</v>
      </c>
      <c r="D1059" s="113">
        <v>175880.4</v>
      </c>
    </row>
    <row r="1060" spans="1:4">
      <c r="A1060" s="107">
        <v>10</v>
      </c>
      <c r="B1060" s="1324"/>
      <c r="C1060" t="s">
        <v>1253</v>
      </c>
      <c r="D1060" s="113">
        <v>0</v>
      </c>
    </row>
    <row r="1061" spans="1:4">
      <c r="A1061" s="107">
        <v>10</v>
      </c>
      <c r="B1061" s="1324"/>
      <c r="C1061" t="s">
        <v>421</v>
      </c>
      <c r="D1061" s="113">
        <v>0</v>
      </c>
    </row>
    <row r="1062" spans="1:4">
      <c r="A1062" s="107">
        <v>2</v>
      </c>
      <c r="B1062" s="1324" t="s">
        <v>2131</v>
      </c>
      <c r="C1062" t="s">
        <v>444</v>
      </c>
      <c r="D1062" s="113">
        <v>0</v>
      </c>
    </row>
    <row r="1063" spans="1:4">
      <c r="A1063" s="107">
        <v>2</v>
      </c>
      <c r="B1063" s="1324"/>
      <c r="C1063" t="s">
        <v>445</v>
      </c>
      <c r="D1063" s="113">
        <v>0</v>
      </c>
    </row>
    <row r="1064" spans="1:4">
      <c r="A1064" s="107">
        <v>2</v>
      </c>
      <c r="B1064" s="1324"/>
      <c r="C1064" t="s">
        <v>446</v>
      </c>
      <c r="D1064" s="113">
        <v>13840.6</v>
      </c>
    </row>
    <row r="1065" spans="1:4">
      <c r="A1065" s="107">
        <v>2</v>
      </c>
      <c r="B1065" s="1324"/>
      <c r="C1065" t="s">
        <v>1253</v>
      </c>
      <c r="D1065" s="113">
        <v>0</v>
      </c>
    </row>
    <row r="1066" spans="1:4">
      <c r="A1066" s="107">
        <v>2</v>
      </c>
      <c r="B1066" s="1324"/>
      <c r="C1066" t="s">
        <v>421</v>
      </c>
      <c r="D1066" s="113">
        <v>0</v>
      </c>
    </row>
    <row r="1067" spans="1:4">
      <c r="A1067" s="107">
        <v>2</v>
      </c>
      <c r="B1067" s="1324" t="s">
        <v>2132</v>
      </c>
      <c r="C1067" t="s">
        <v>444</v>
      </c>
      <c r="D1067" s="113">
        <v>0</v>
      </c>
    </row>
    <row r="1068" spans="1:4">
      <c r="A1068" s="107">
        <v>2</v>
      </c>
      <c r="B1068" s="1324"/>
      <c r="C1068" t="s">
        <v>445</v>
      </c>
      <c r="D1068" s="113">
        <v>0</v>
      </c>
    </row>
    <row r="1069" spans="1:4">
      <c r="A1069" s="107">
        <v>2</v>
      </c>
      <c r="B1069" s="1324"/>
      <c r="C1069" t="s">
        <v>446</v>
      </c>
      <c r="D1069" s="113">
        <v>1212.8</v>
      </c>
    </row>
    <row r="1070" spans="1:4">
      <c r="A1070" s="107">
        <v>2</v>
      </c>
      <c r="B1070" s="1324"/>
      <c r="C1070" t="s">
        <v>1253</v>
      </c>
      <c r="D1070" s="113">
        <v>0</v>
      </c>
    </row>
    <row r="1071" spans="1:4">
      <c r="A1071" s="107">
        <v>2</v>
      </c>
      <c r="B1071" s="1325"/>
      <c r="C1071" t="s">
        <v>421</v>
      </c>
      <c r="D1071" s="113">
        <v>0</v>
      </c>
    </row>
    <row r="1072" spans="1:4">
      <c r="A1072" s="107">
        <v>2</v>
      </c>
      <c r="B1072" s="1323" t="s">
        <v>904</v>
      </c>
      <c r="C1072" t="s">
        <v>444</v>
      </c>
      <c r="D1072" s="113">
        <v>0</v>
      </c>
    </row>
    <row r="1073" spans="1:4">
      <c r="A1073" s="107">
        <v>2</v>
      </c>
      <c r="B1073" s="1324"/>
      <c r="C1073" t="s">
        <v>445</v>
      </c>
      <c r="D1073" s="113">
        <v>0</v>
      </c>
    </row>
    <row r="1074" spans="1:4">
      <c r="A1074" s="107">
        <v>2</v>
      </c>
      <c r="B1074" s="1324"/>
      <c r="C1074" t="s">
        <v>446</v>
      </c>
      <c r="D1074" s="113">
        <v>21256.3</v>
      </c>
    </row>
    <row r="1075" spans="1:4">
      <c r="A1075" s="107">
        <v>2</v>
      </c>
      <c r="B1075" s="1324"/>
      <c r="C1075" t="s">
        <v>1253</v>
      </c>
      <c r="D1075" s="113">
        <v>0</v>
      </c>
    </row>
    <row r="1076" spans="1:4">
      <c r="A1076" s="107">
        <v>2</v>
      </c>
      <c r="B1076" s="1324"/>
      <c r="C1076" t="s">
        <v>421</v>
      </c>
      <c r="D1076" s="113">
        <v>0</v>
      </c>
    </row>
    <row r="1077" spans="1:4">
      <c r="A1077" s="107">
        <v>2</v>
      </c>
      <c r="B1077" s="1323" t="s">
        <v>905</v>
      </c>
      <c r="C1077" t="s">
        <v>444</v>
      </c>
      <c r="D1077" s="113">
        <v>0</v>
      </c>
    </row>
    <row r="1078" spans="1:4">
      <c r="A1078" s="107">
        <v>2</v>
      </c>
      <c r="B1078" s="1324"/>
      <c r="C1078" t="s">
        <v>445</v>
      </c>
      <c r="D1078" s="113">
        <v>0</v>
      </c>
    </row>
    <row r="1079" spans="1:4">
      <c r="A1079" s="107">
        <v>2</v>
      </c>
      <c r="B1079" s="1324"/>
      <c r="C1079" t="s">
        <v>446</v>
      </c>
      <c r="D1079" s="113">
        <v>46389.4</v>
      </c>
    </row>
    <row r="1080" spans="1:4">
      <c r="A1080" s="107">
        <v>2</v>
      </c>
      <c r="B1080" s="1324"/>
      <c r="C1080" t="s">
        <v>1253</v>
      </c>
      <c r="D1080" s="113">
        <v>0</v>
      </c>
    </row>
    <row r="1081" spans="1:4">
      <c r="A1081" s="107">
        <v>2</v>
      </c>
      <c r="B1081" s="1325"/>
      <c r="C1081" t="s">
        <v>421</v>
      </c>
      <c r="D1081" s="113">
        <v>0</v>
      </c>
    </row>
    <row r="1082" spans="1:4" ht="12.75" customHeight="1">
      <c r="A1082" s="107">
        <v>2</v>
      </c>
      <c r="B1082" s="1323" t="s">
        <v>906</v>
      </c>
      <c r="C1082" t="s">
        <v>444</v>
      </c>
      <c r="D1082" s="113">
        <v>0</v>
      </c>
    </row>
    <row r="1083" spans="1:4">
      <c r="A1083" s="107">
        <v>2</v>
      </c>
      <c r="B1083" s="1324"/>
      <c r="C1083" t="s">
        <v>445</v>
      </c>
      <c r="D1083" s="113">
        <v>0</v>
      </c>
    </row>
    <row r="1084" spans="1:4">
      <c r="A1084" s="107">
        <v>2</v>
      </c>
      <c r="B1084" s="1324"/>
      <c r="C1084" t="s">
        <v>446</v>
      </c>
      <c r="D1084" s="113">
        <v>87055.6</v>
      </c>
    </row>
    <row r="1085" spans="1:4">
      <c r="A1085" s="107">
        <v>2</v>
      </c>
      <c r="B1085" s="1324"/>
      <c r="C1085" t="s">
        <v>1253</v>
      </c>
      <c r="D1085" s="113">
        <v>0</v>
      </c>
    </row>
    <row r="1086" spans="1:4">
      <c r="A1086" s="107">
        <v>2</v>
      </c>
      <c r="B1086" s="1324"/>
      <c r="C1086" t="s">
        <v>421</v>
      </c>
      <c r="D1086" s="113">
        <v>0</v>
      </c>
    </row>
    <row r="1087" spans="1:4">
      <c r="A1087" s="107">
        <v>10</v>
      </c>
      <c r="B1087" s="1323" t="s">
        <v>907</v>
      </c>
      <c r="C1087" t="s">
        <v>444</v>
      </c>
      <c r="D1087" s="113">
        <v>53022.7</v>
      </c>
    </row>
    <row r="1088" spans="1:4">
      <c r="A1088" s="107">
        <v>10</v>
      </c>
      <c r="B1088" s="1324"/>
      <c r="C1088" t="s">
        <v>445</v>
      </c>
      <c r="D1088" s="113">
        <v>0</v>
      </c>
    </row>
    <row r="1089" spans="1:4">
      <c r="A1089" s="107">
        <v>10</v>
      </c>
      <c r="B1089" s="1324"/>
      <c r="C1089" t="s">
        <v>446</v>
      </c>
      <c r="D1089" s="113">
        <v>472599.2</v>
      </c>
    </row>
    <row r="1090" spans="1:4">
      <c r="A1090" s="107">
        <v>10</v>
      </c>
      <c r="B1090" s="1324"/>
      <c r="C1090" t="s">
        <v>1253</v>
      </c>
      <c r="D1090" s="113">
        <v>0</v>
      </c>
    </row>
    <row r="1091" spans="1:4">
      <c r="A1091" s="107">
        <v>10</v>
      </c>
      <c r="B1091" s="1324"/>
      <c r="C1091" t="s">
        <v>421</v>
      </c>
      <c r="D1091" s="113">
        <v>0</v>
      </c>
    </row>
    <row r="1092" spans="1:4">
      <c r="A1092" s="107">
        <v>2</v>
      </c>
      <c r="B1092" s="1332" t="s">
        <v>908</v>
      </c>
      <c r="C1092" t="s">
        <v>444</v>
      </c>
      <c r="D1092" s="113">
        <v>0</v>
      </c>
    </row>
    <row r="1093" spans="1:4">
      <c r="A1093" s="107">
        <v>2</v>
      </c>
      <c r="B1093" s="1333"/>
      <c r="C1093" t="s">
        <v>445</v>
      </c>
      <c r="D1093" s="113">
        <v>0</v>
      </c>
    </row>
    <row r="1094" spans="1:4">
      <c r="A1094" s="107">
        <v>2</v>
      </c>
      <c r="B1094" s="1333"/>
      <c r="C1094" t="s">
        <v>446</v>
      </c>
      <c r="D1094" s="113">
        <v>57405.9</v>
      </c>
    </row>
    <row r="1095" spans="1:4">
      <c r="A1095" s="107">
        <v>2</v>
      </c>
      <c r="B1095" s="1333"/>
      <c r="C1095" t="s">
        <v>1253</v>
      </c>
      <c r="D1095" s="113">
        <v>0</v>
      </c>
    </row>
    <row r="1096" spans="1:4">
      <c r="A1096" s="107">
        <v>2</v>
      </c>
      <c r="B1096" s="1334"/>
      <c r="C1096" t="s">
        <v>421</v>
      </c>
      <c r="D1096" s="113">
        <v>0</v>
      </c>
    </row>
    <row r="1097" spans="1:4">
      <c r="A1097" s="107">
        <v>1</v>
      </c>
      <c r="B1097" s="1323" t="s">
        <v>1536</v>
      </c>
      <c r="C1097" t="s">
        <v>444</v>
      </c>
      <c r="D1097" s="113">
        <v>0</v>
      </c>
    </row>
    <row r="1098" spans="1:4">
      <c r="A1098" s="107">
        <v>1</v>
      </c>
      <c r="B1098" s="1324"/>
      <c r="C1098" t="s">
        <v>445</v>
      </c>
      <c r="D1098" s="113">
        <v>0</v>
      </c>
    </row>
    <row r="1099" spans="1:4">
      <c r="A1099" s="107">
        <v>1</v>
      </c>
      <c r="B1099" s="1324"/>
      <c r="C1099" t="s">
        <v>446</v>
      </c>
      <c r="D1099" s="113">
        <v>4541.8999999999996</v>
      </c>
    </row>
    <row r="1100" spans="1:4">
      <c r="A1100" s="107">
        <v>1</v>
      </c>
      <c r="B1100" s="1324"/>
      <c r="C1100" t="s">
        <v>1253</v>
      </c>
      <c r="D1100" s="113">
        <v>0</v>
      </c>
    </row>
    <row r="1101" spans="1:4">
      <c r="A1101" s="107">
        <v>1</v>
      </c>
      <c r="B1101" s="1325"/>
      <c r="C1101" t="s">
        <v>421</v>
      </c>
      <c r="D1101" s="113">
        <v>0</v>
      </c>
    </row>
    <row r="1102" spans="1:4">
      <c r="A1102" s="107">
        <v>1</v>
      </c>
      <c r="B1102" s="1323" t="s">
        <v>2133</v>
      </c>
      <c r="C1102" t="s">
        <v>444</v>
      </c>
      <c r="D1102" s="113">
        <v>0</v>
      </c>
    </row>
    <row r="1103" spans="1:4">
      <c r="A1103" s="107">
        <v>1</v>
      </c>
      <c r="B1103" s="1324"/>
      <c r="C1103" t="s">
        <v>445</v>
      </c>
      <c r="D1103" s="113">
        <v>0</v>
      </c>
    </row>
    <row r="1104" spans="1:4">
      <c r="A1104" s="107">
        <v>1</v>
      </c>
      <c r="B1104" s="1324"/>
      <c r="C1104" t="s">
        <v>446</v>
      </c>
      <c r="D1104" s="113">
        <v>4163.1000000000004</v>
      </c>
    </row>
    <row r="1105" spans="1:4">
      <c r="A1105" s="107">
        <v>1</v>
      </c>
      <c r="B1105" s="1324"/>
      <c r="C1105" t="s">
        <v>1253</v>
      </c>
      <c r="D1105" s="113">
        <v>0</v>
      </c>
    </row>
    <row r="1106" spans="1:4">
      <c r="A1106" s="107">
        <v>1</v>
      </c>
      <c r="B1106" s="1325"/>
      <c r="C1106" t="s">
        <v>421</v>
      </c>
      <c r="D1106" s="113">
        <v>0</v>
      </c>
    </row>
    <row r="1107" spans="1:4" ht="12.75" customHeight="1">
      <c r="A1107" s="107">
        <v>9</v>
      </c>
      <c r="B1107" s="1323" t="s">
        <v>1537</v>
      </c>
      <c r="C1107" t="s">
        <v>444</v>
      </c>
      <c r="D1107" s="113">
        <v>0</v>
      </c>
    </row>
    <row r="1108" spans="1:4">
      <c r="A1108" s="107">
        <v>9</v>
      </c>
      <c r="B1108" s="1324"/>
      <c r="C1108" t="s">
        <v>445</v>
      </c>
      <c r="D1108" s="113">
        <v>0</v>
      </c>
    </row>
    <row r="1109" spans="1:4">
      <c r="A1109" s="107">
        <v>9</v>
      </c>
      <c r="B1109" s="1324"/>
      <c r="C1109" t="s">
        <v>446</v>
      </c>
      <c r="D1109" s="113">
        <v>35712.5</v>
      </c>
    </row>
    <row r="1110" spans="1:4">
      <c r="A1110" s="107">
        <v>9</v>
      </c>
      <c r="B1110" s="1324"/>
      <c r="C1110" t="s">
        <v>1253</v>
      </c>
      <c r="D1110" s="113">
        <v>0</v>
      </c>
    </row>
    <row r="1111" spans="1:4">
      <c r="A1111" s="107">
        <v>9</v>
      </c>
      <c r="B1111" s="1324"/>
      <c r="C1111" t="s">
        <v>421</v>
      </c>
      <c r="D1111" s="113">
        <v>0</v>
      </c>
    </row>
    <row r="1112" spans="1:4">
      <c r="A1112" s="107">
        <v>1</v>
      </c>
      <c r="B1112" s="1324" t="s">
        <v>1538</v>
      </c>
      <c r="C1112" t="s">
        <v>444</v>
      </c>
      <c r="D1112" s="113">
        <v>10622.3</v>
      </c>
    </row>
    <row r="1113" spans="1:4">
      <c r="A1113" s="107">
        <v>1</v>
      </c>
      <c r="B1113" s="1324"/>
      <c r="C1113" t="s">
        <v>445</v>
      </c>
      <c r="D1113" s="113">
        <v>0</v>
      </c>
    </row>
    <row r="1114" spans="1:4">
      <c r="A1114" s="107">
        <v>1</v>
      </c>
      <c r="B1114" s="1324"/>
      <c r="C1114" t="s">
        <v>446</v>
      </c>
      <c r="D1114" s="113">
        <v>59666.7</v>
      </c>
    </row>
    <row r="1115" spans="1:4">
      <c r="A1115" s="107">
        <v>1</v>
      </c>
      <c r="B1115" s="1324"/>
      <c r="C1115" t="s">
        <v>1253</v>
      </c>
      <c r="D1115" s="113">
        <v>0</v>
      </c>
    </row>
    <row r="1116" spans="1:4" ht="12.75" customHeight="1">
      <c r="A1116" s="107">
        <v>1</v>
      </c>
      <c r="B1116" s="1324"/>
      <c r="C1116" t="s">
        <v>421</v>
      </c>
      <c r="D1116" s="113">
        <v>0</v>
      </c>
    </row>
    <row r="1117" spans="1:4" ht="12.75" customHeight="1">
      <c r="A1117" s="107">
        <v>2</v>
      </c>
      <c r="B1117" s="1324" t="s">
        <v>1539</v>
      </c>
      <c r="C1117" t="s">
        <v>444</v>
      </c>
      <c r="D1117" s="113">
        <v>0</v>
      </c>
    </row>
    <row r="1118" spans="1:4">
      <c r="A1118" s="107">
        <v>2</v>
      </c>
      <c r="B1118" s="1324"/>
      <c r="C1118" t="s">
        <v>445</v>
      </c>
      <c r="D1118" s="113">
        <v>0</v>
      </c>
    </row>
    <row r="1119" spans="1:4">
      <c r="A1119" s="107">
        <v>2</v>
      </c>
      <c r="B1119" s="1324"/>
      <c r="C1119" t="s">
        <v>446</v>
      </c>
      <c r="D1119" s="113">
        <v>2674.5</v>
      </c>
    </row>
    <row r="1120" spans="1:4">
      <c r="A1120" s="107">
        <v>2</v>
      </c>
      <c r="B1120" s="1324"/>
      <c r="C1120" t="s">
        <v>1253</v>
      </c>
      <c r="D1120" s="113">
        <v>0</v>
      </c>
    </row>
    <row r="1121" spans="1:4">
      <c r="A1121" s="107">
        <v>2</v>
      </c>
      <c r="B1121" s="1324"/>
      <c r="C1121" t="s">
        <v>421</v>
      </c>
      <c r="D1121" s="113">
        <v>0</v>
      </c>
    </row>
    <row r="1122" spans="1:4">
      <c r="A1122" s="107">
        <v>4</v>
      </c>
      <c r="B1122" s="1324" t="s">
        <v>1540</v>
      </c>
      <c r="C1122" t="s">
        <v>444</v>
      </c>
      <c r="D1122" s="113">
        <v>0</v>
      </c>
    </row>
    <row r="1123" spans="1:4">
      <c r="A1123" s="107">
        <v>4</v>
      </c>
      <c r="B1123" s="1324"/>
      <c r="C1123" t="s">
        <v>445</v>
      </c>
      <c r="D1123" s="113">
        <v>0</v>
      </c>
    </row>
    <row r="1124" spans="1:4">
      <c r="A1124" s="107">
        <v>4</v>
      </c>
      <c r="B1124" s="1324"/>
      <c r="C1124" t="s">
        <v>446</v>
      </c>
      <c r="D1124" s="113">
        <v>4475.3999999999996</v>
      </c>
    </row>
    <row r="1125" spans="1:4">
      <c r="A1125" s="107">
        <v>4</v>
      </c>
      <c r="B1125" s="1324"/>
      <c r="C1125" t="s">
        <v>1253</v>
      </c>
      <c r="D1125" s="113">
        <v>0</v>
      </c>
    </row>
    <row r="1126" spans="1:4">
      <c r="A1126" s="107">
        <v>2</v>
      </c>
      <c r="B1126" s="1324"/>
      <c r="C1126" t="s">
        <v>421</v>
      </c>
      <c r="D1126" s="113">
        <v>0</v>
      </c>
    </row>
    <row r="1127" spans="1:4">
      <c r="A1127" s="107">
        <v>2</v>
      </c>
      <c r="B1127" s="1324" t="s">
        <v>1541</v>
      </c>
      <c r="C1127" t="s">
        <v>444</v>
      </c>
      <c r="D1127" s="113">
        <v>0</v>
      </c>
    </row>
    <row r="1128" spans="1:4">
      <c r="A1128" s="107">
        <v>2</v>
      </c>
      <c r="B1128" s="1324"/>
      <c r="C1128" t="s">
        <v>445</v>
      </c>
      <c r="D1128" s="113">
        <v>0</v>
      </c>
    </row>
    <row r="1129" spans="1:4">
      <c r="A1129" s="107">
        <v>2</v>
      </c>
      <c r="B1129" s="1324"/>
      <c r="C1129" t="s">
        <v>446</v>
      </c>
      <c r="D1129" s="113">
        <v>25935.8</v>
      </c>
    </row>
    <row r="1130" spans="1:4">
      <c r="A1130" s="107">
        <v>2</v>
      </c>
      <c r="B1130" s="1324"/>
      <c r="C1130" t="s">
        <v>1253</v>
      </c>
      <c r="D1130" s="113">
        <v>0</v>
      </c>
    </row>
    <row r="1131" spans="1:4" s="1" customFormat="1" ht="12.75" customHeight="1">
      <c r="A1131" s="646">
        <v>2</v>
      </c>
      <c r="B1131" s="1324"/>
      <c r="C1131" s="1" t="s">
        <v>421</v>
      </c>
      <c r="D1131" s="113">
        <v>0</v>
      </c>
    </row>
    <row r="1132" spans="1:4" ht="12.75" customHeight="1">
      <c r="A1132" s="107">
        <v>2</v>
      </c>
      <c r="B1132" s="1324" t="s">
        <v>1542</v>
      </c>
      <c r="C1132" t="s">
        <v>444</v>
      </c>
      <c r="D1132" s="113">
        <v>0</v>
      </c>
    </row>
    <row r="1133" spans="1:4">
      <c r="A1133" s="107">
        <v>2</v>
      </c>
      <c r="B1133" s="1324"/>
      <c r="C1133" t="s">
        <v>445</v>
      </c>
      <c r="D1133" s="113">
        <v>0</v>
      </c>
    </row>
    <row r="1134" spans="1:4">
      <c r="A1134" s="107">
        <v>2</v>
      </c>
      <c r="B1134" s="1324"/>
      <c r="C1134" t="s">
        <v>446</v>
      </c>
      <c r="D1134" s="113">
        <v>59922.6</v>
      </c>
    </row>
    <row r="1135" spans="1:4">
      <c r="A1135" s="107">
        <v>2</v>
      </c>
      <c r="B1135" s="1324"/>
      <c r="C1135" t="s">
        <v>1253</v>
      </c>
      <c r="D1135" s="113">
        <v>0</v>
      </c>
    </row>
    <row r="1136" spans="1:4" ht="12.75" customHeight="1">
      <c r="A1136" s="107">
        <v>2</v>
      </c>
      <c r="B1136" s="1324"/>
      <c r="C1136" t="s">
        <v>421</v>
      </c>
      <c r="D1136" s="113">
        <v>0</v>
      </c>
    </row>
    <row r="1137" spans="1:4" ht="12.75" customHeight="1">
      <c r="A1137" s="107">
        <v>2</v>
      </c>
      <c r="B1137" s="1324" t="s">
        <v>1543</v>
      </c>
      <c r="C1137" t="s">
        <v>444</v>
      </c>
      <c r="D1137" s="113">
        <v>1826.1</v>
      </c>
    </row>
    <row r="1138" spans="1:4">
      <c r="A1138" s="107">
        <v>2</v>
      </c>
      <c r="B1138" s="1324"/>
      <c r="C1138" t="s">
        <v>445</v>
      </c>
      <c r="D1138" s="113">
        <v>0</v>
      </c>
    </row>
    <row r="1139" spans="1:4">
      <c r="A1139" s="107">
        <v>2</v>
      </c>
      <c r="B1139" s="1324"/>
      <c r="C1139" t="s">
        <v>446</v>
      </c>
      <c r="D1139" s="113">
        <v>5309</v>
      </c>
    </row>
    <row r="1140" spans="1:4">
      <c r="A1140" s="107">
        <v>2</v>
      </c>
      <c r="B1140" s="1324"/>
      <c r="C1140" t="s">
        <v>1253</v>
      </c>
      <c r="D1140" s="113">
        <v>0</v>
      </c>
    </row>
    <row r="1141" spans="1:4" ht="12.75" customHeight="1">
      <c r="A1141" s="107">
        <v>2</v>
      </c>
      <c r="B1141" s="1324"/>
      <c r="C1141" t="s">
        <v>421</v>
      </c>
      <c r="D1141" s="113">
        <v>0</v>
      </c>
    </row>
    <row r="1142" spans="1:4" ht="12.75" customHeight="1">
      <c r="A1142" s="107">
        <v>2</v>
      </c>
      <c r="B1142" s="1324" t="s">
        <v>1544</v>
      </c>
      <c r="C1142" t="s">
        <v>444</v>
      </c>
      <c r="D1142" s="113">
        <v>0</v>
      </c>
    </row>
    <row r="1143" spans="1:4">
      <c r="A1143" s="107">
        <v>2</v>
      </c>
      <c r="B1143" s="1324"/>
      <c r="C1143" t="s">
        <v>445</v>
      </c>
      <c r="D1143" s="113">
        <v>0</v>
      </c>
    </row>
    <row r="1144" spans="1:4">
      <c r="A1144" s="107">
        <v>2</v>
      </c>
      <c r="B1144" s="1324"/>
      <c r="C1144" t="s">
        <v>446</v>
      </c>
      <c r="D1144" s="113">
        <v>14037.1</v>
      </c>
    </row>
    <row r="1145" spans="1:4">
      <c r="A1145" s="107">
        <v>2</v>
      </c>
      <c r="B1145" s="1324"/>
      <c r="C1145" t="s">
        <v>1253</v>
      </c>
      <c r="D1145" s="113">
        <v>0</v>
      </c>
    </row>
    <row r="1146" spans="1:4" ht="12.75" customHeight="1">
      <c r="A1146" s="107">
        <v>2</v>
      </c>
      <c r="B1146" s="1325"/>
      <c r="C1146" t="s">
        <v>421</v>
      </c>
      <c r="D1146" s="113">
        <v>0</v>
      </c>
    </row>
    <row r="1147" spans="1:4" ht="12.75" customHeight="1">
      <c r="A1147" s="107">
        <v>15</v>
      </c>
      <c r="B1147" s="1323" t="s">
        <v>2134</v>
      </c>
      <c r="C1147" t="s">
        <v>444</v>
      </c>
      <c r="D1147" s="113">
        <v>5538304.2000000002</v>
      </c>
    </row>
    <row r="1148" spans="1:4" ht="12.75" customHeight="1">
      <c r="A1148" s="107">
        <v>15</v>
      </c>
      <c r="B1148" s="1324"/>
      <c r="C1148" t="s">
        <v>445</v>
      </c>
      <c r="D1148" s="113">
        <v>1118634.8</v>
      </c>
    </row>
    <row r="1149" spans="1:4" ht="12.75" customHeight="1">
      <c r="A1149" s="107">
        <v>15</v>
      </c>
      <c r="B1149" s="1324"/>
      <c r="C1149" t="s">
        <v>446</v>
      </c>
      <c r="D1149" s="113">
        <v>139487.4</v>
      </c>
    </row>
    <row r="1150" spans="1:4" ht="12.75" customHeight="1">
      <c r="A1150" s="107">
        <v>15</v>
      </c>
      <c r="B1150" s="1324"/>
      <c r="C1150" t="s">
        <v>1253</v>
      </c>
      <c r="D1150" s="113">
        <v>1115258.6000000001</v>
      </c>
    </row>
    <row r="1151" spans="1:4" ht="12.75" customHeight="1">
      <c r="A1151" s="107">
        <v>15</v>
      </c>
      <c r="B1151" s="1324"/>
      <c r="C1151" t="s">
        <v>421</v>
      </c>
      <c r="D1151" s="113">
        <v>0</v>
      </c>
    </row>
    <row r="1152" spans="1:4" ht="12.75" customHeight="1">
      <c r="A1152" s="107">
        <v>2</v>
      </c>
      <c r="B1152" s="1324" t="s">
        <v>2135</v>
      </c>
      <c r="C1152" t="s">
        <v>444</v>
      </c>
      <c r="D1152" s="113">
        <v>0</v>
      </c>
    </row>
    <row r="1153" spans="1:4" s="1" customFormat="1" ht="12.75" customHeight="1">
      <c r="A1153" s="646">
        <v>2</v>
      </c>
      <c r="B1153" s="1324"/>
      <c r="C1153" s="1" t="s">
        <v>445</v>
      </c>
      <c r="D1153" s="113">
        <v>0</v>
      </c>
    </row>
    <row r="1154" spans="1:4">
      <c r="A1154" s="107">
        <v>2</v>
      </c>
      <c r="B1154" s="1324"/>
      <c r="C1154" t="s">
        <v>446</v>
      </c>
      <c r="D1154" s="113">
        <v>6087.6</v>
      </c>
    </row>
    <row r="1155" spans="1:4">
      <c r="A1155" s="107">
        <v>2</v>
      </c>
      <c r="B1155" s="1324"/>
      <c r="C1155" t="s">
        <v>1253</v>
      </c>
      <c r="D1155" s="113">
        <v>0</v>
      </c>
    </row>
    <row r="1156" spans="1:4">
      <c r="A1156" s="107">
        <v>2</v>
      </c>
      <c r="B1156" s="1324"/>
      <c r="C1156" t="s">
        <v>421</v>
      </c>
      <c r="D1156" s="113">
        <v>0</v>
      </c>
    </row>
    <row r="1157" spans="1:4" ht="12.75" customHeight="1">
      <c r="A1157" s="107">
        <v>2</v>
      </c>
      <c r="B1157" s="1324" t="s">
        <v>2136</v>
      </c>
      <c r="C1157" t="s">
        <v>444</v>
      </c>
      <c r="D1157" s="113">
        <v>1610.2</v>
      </c>
    </row>
    <row r="1158" spans="1:4" ht="12.75" customHeight="1">
      <c r="A1158" s="107">
        <v>2</v>
      </c>
      <c r="B1158" s="1324"/>
      <c r="C1158" t="s">
        <v>445</v>
      </c>
      <c r="D1158" s="113">
        <v>0</v>
      </c>
    </row>
    <row r="1159" spans="1:4">
      <c r="A1159" s="107">
        <v>2</v>
      </c>
      <c r="B1159" s="1324"/>
      <c r="C1159" t="s">
        <v>446</v>
      </c>
      <c r="D1159" s="113">
        <v>0</v>
      </c>
    </row>
    <row r="1160" spans="1:4">
      <c r="A1160" s="107">
        <v>2</v>
      </c>
      <c r="B1160" s="1324"/>
      <c r="C1160" t="s">
        <v>1253</v>
      </c>
      <c r="D1160" s="113">
        <v>0</v>
      </c>
    </row>
    <row r="1161" spans="1:4">
      <c r="A1161" s="107">
        <v>2</v>
      </c>
      <c r="B1161" s="1324"/>
      <c r="C1161" t="s">
        <v>421</v>
      </c>
      <c r="D1161" s="113">
        <v>0</v>
      </c>
    </row>
    <row r="1162" spans="1:4" ht="12.75" customHeight="1">
      <c r="A1162" s="107">
        <v>2</v>
      </c>
      <c r="B1162" s="1324" t="s">
        <v>2137</v>
      </c>
      <c r="C1162" t="s">
        <v>444</v>
      </c>
      <c r="D1162" s="113">
        <v>8365.1</v>
      </c>
    </row>
    <row r="1163" spans="1:4" ht="12.75" customHeight="1">
      <c r="A1163" s="107">
        <v>2</v>
      </c>
      <c r="B1163" s="1324"/>
      <c r="C1163" t="s">
        <v>445</v>
      </c>
      <c r="D1163" s="113">
        <v>0</v>
      </c>
    </row>
    <row r="1164" spans="1:4">
      <c r="A1164" s="107">
        <v>2</v>
      </c>
      <c r="B1164" s="1324"/>
      <c r="C1164" t="s">
        <v>446</v>
      </c>
      <c r="D1164" s="113">
        <v>11332.4</v>
      </c>
    </row>
    <row r="1165" spans="1:4">
      <c r="A1165" s="107">
        <v>2</v>
      </c>
      <c r="B1165" s="1324"/>
      <c r="C1165" t="s">
        <v>1253</v>
      </c>
      <c r="D1165" s="113">
        <v>0</v>
      </c>
    </row>
    <row r="1166" spans="1:4">
      <c r="A1166" s="107">
        <v>2</v>
      </c>
      <c r="B1166" s="1324"/>
      <c r="C1166" t="s">
        <v>421</v>
      </c>
      <c r="D1166" s="113">
        <v>0</v>
      </c>
    </row>
    <row r="1167" spans="1:4">
      <c r="A1167" s="107">
        <v>2</v>
      </c>
      <c r="B1167" s="1324" t="s">
        <v>2138</v>
      </c>
      <c r="C1167" t="s">
        <v>444</v>
      </c>
      <c r="D1167" s="113">
        <v>0</v>
      </c>
    </row>
    <row r="1168" spans="1:4">
      <c r="A1168" s="107">
        <v>2</v>
      </c>
      <c r="B1168" s="1324"/>
      <c r="C1168" t="s">
        <v>445</v>
      </c>
      <c r="D1168" s="113">
        <v>0</v>
      </c>
    </row>
    <row r="1169" spans="1:4">
      <c r="A1169" s="107">
        <v>2</v>
      </c>
      <c r="B1169" s="1324"/>
      <c r="C1169" t="s">
        <v>446</v>
      </c>
      <c r="D1169" s="113">
        <v>2968.1</v>
      </c>
    </row>
    <row r="1170" spans="1:4">
      <c r="A1170" s="107">
        <v>2</v>
      </c>
      <c r="B1170" s="1324"/>
      <c r="C1170" t="s">
        <v>1253</v>
      </c>
      <c r="D1170" s="113">
        <v>0</v>
      </c>
    </row>
    <row r="1171" spans="1:4" ht="12.75" customHeight="1">
      <c r="A1171" s="107">
        <v>2</v>
      </c>
      <c r="B1171" s="1325"/>
      <c r="C1171" t="s">
        <v>421</v>
      </c>
      <c r="D1171" s="113">
        <v>0</v>
      </c>
    </row>
    <row r="1172" spans="1:4" s="645" customFormat="1" ht="12.75" customHeight="1">
      <c r="A1172" s="644">
        <v>2</v>
      </c>
      <c r="B1172" s="1323" t="s">
        <v>909</v>
      </c>
      <c r="C1172" s="645" t="s">
        <v>444</v>
      </c>
      <c r="D1172" s="648">
        <v>11588.8</v>
      </c>
    </row>
    <row r="1173" spans="1:4">
      <c r="A1173" s="107">
        <v>2</v>
      </c>
      <c r="B1173" s="1324"/>
      <c r="C1173" t="s">
        <v>445</v>
      </c>
      <c r="D1173" s="648">
        <v>1092</v>
      </c>
    </row>
    <row r="1174" spans="1:4">
      <c r="A1174" s="107">
        <v>2</v>
      </c>
      <c r="B1174" s="1324"/>
      <c r="C1174" t="s">
        <v>446</v>
      </c>
      <c r="D1174" s="648">
        <v>39994.300000000003</v>
      </c>
    </row>
    <row r="1175" spans="1:4">
      <c r="A1175" s="107">
        <v>2</v>
      </c>
      <c r="B1175" s="1324"/>
      <c r="C1175" t="s">
        <v>1253</v>
      </c>
      <c r="D1175" s="648">
        <v>258</v>
      </c>
    </row>
    <row r="1176" spans="1:4" ht="12.75" customHeight="1">
      <c r="A1176" s="107">
        <v>2</v>
      </c>
      <c r="B1176" s="1324"/>
      <c r="C1176" t="s">
        <v>421</v>
      </c>
      <c r="D1176" s="648">
        <v>221.3</v>
      </c>
    </row>
    <row r="1177" spans="1:4" ht="12.75" customHeight="1">
      <c r="A1177" s="107">
        <v>2</v>
      </c>
      <c r="B1177" s="1323" t="s">
        <v>910</v>
      </c>
      <c r="C1177" s="1" t="s">
        <v>444</v>
      </c>
      <c r="D1177" s="648">
        <v>0</v>
      </c>
    </row>
    <row r="1178" spans="1:4">
      <c r="A1178" s="107">
        <v>2</v>
      </c>
      <c r="B1178" s="1324"/>
      <c r="C1178" t="s">
        <v>445</v>
      </c>
      <c r="D1178" s="648">
        <v>0</v>
      </c>
    </row>
    <row r="1179" spans="1:4">
      <c r="A1179" s="107">
        <v>2</v>
      </c>
      <c r="B1179" s="1324"/>
      <c r="C1179" t="s">
        <v>446</v>
      </c>
      <c r="D1179" s="648">
        <v>58479.4</v>
      </c>
    </row>
    <row r="1180" spans="1:4">
      <c r="A1180" s="107">
        <v>2</v>
      </c>
      <c r="B1180" s="1324"/>
      <c r="C1180" t="s">
        <v>1253</v>
      </c>
      <c r="D1180" s="648">
        <v>0</v>
      </c>
    </row>
    <row r="1181" spans="1:4" ht="12.75" customHeight="1">
      <c r="A1181" s="107">
        <v>2</v>
      </c>
      <c r="B1181" s="1324"/>
      <c r="C1181" t="s">
        <v>421</v>
      </c>
      <c r="D1181" s="648">
        <v>0</v>
      </c>
    </row>
    <row r="1182" spans="1:4" ht="12.75" customHeight="1">
      <c r="A1182" s="107">
        <v>2</v>
      </c>
      <c r="B1182" s="1323" t="s">
        <v>911</v>
      </c>
      <c r="C1182" s="1" t="s">
        <v>444</v>
      </c>
      <c r="D1182" s="648">
        <v>0</v>
      </c>
    </row>
    <row r="1183" spans="1:4">
      <c r="A1183" s="107">
        <v>2</v>
      </c>
      <c r="B1183" s="1324"/>
      <c r="C1183" t="s">
        <v>445</v>
      </c>
      <c r="D1183" s="648">
        <v>0</v>
      </c>
    </row>
    <row r="1184" spans="1:4">
      <c r="A1184" s="107">
        <v>2</v>
      </c>
      <c r="B1184" s="1324"/>
      <c r="C1184" t="s">
        <v>446</v>
      </c>
      <c r="D1184" s="648">
        <v>82468.399999999994</v>
      </c>
    </row>
    <row r="1185" spans="1:4">
      <c r="A1185" s="107">
        <v>2</v>
      </c>
      <c r="B1185" s="1324"/>
      <c r="C1185" t="s">
        <v>1253</v>
      </c>
      <c r="D1185" s="648">
        <v>0</v>
      </c>
    </row>
    <row r="1186" spans="1:4" ht="12.75" customHeight="1">
      <c r="A1186" s="107">
        <v>2</v>
      </c>
      <c r="B1186" s="1324"/>
      <c r="C1186" t="s">
        <v>421</v>
      </c>
      <c r="D1186" s="648">
        <v>0</v>
      </c>
    </row>
    <row r="1187" spans="1:4" ht="12.75" customHeight="1">
      <c r="A1187" s="107">
        <v>2</v>
      </c>
      <c r="B1187" s="1323" t="s">
        <v>912</v>
      </c>
      <c r="C1187" s="1" t="s">
        <v>444</v>
      </c>
      <c r="D1187" s="648">
        <v>0</v>
      </c>
    </row>
    <row r="1188" spans="1:4" ht="12.75" customHeight="1">
      <c r="A1188" s="107">
        <v>2</v>
      </c>
      <c r="B1188" s="1324"/>
      <c r="C1188" t="s">
        <v>445</v>
      </c>
      <c r="D1188" s="648">
        <v>0</v>
      </c>
    </row>
    <row r="1189" spans="1:4" ht="12.75" customHeight="1">
      <c r="A1189" s="107">
        <v>2</v>
      </c>
      <c r="B1189" s="1324"/>
      <c r="C1189" t="s">
        <v>446</v>
      </c>
      <c r="D1189" s="648">
        <v>46539.8</v>
      </c>
    </row>
    <row r="1190" spans="1:4" ht="12.75" customHeight="1">
      <c r="A1190" s="107">
        <v>2</v>
      </c>
      <c r="B1190" s="1324"/>
      <c r="C1190" t="s">
        <v>1253</v>
      </c>
      <c r="D1190" s="648">
        <v>0</v>
      </c>
    </row>
    <row r="1191" spans="1:4" ht="12.75" customHeight="1">
      <c r="A1191" s="107">
        <v>2</v>
      </c>
      <c r="B1191" s="1324"/>
      <c r="C1191" t="s">
        <v>421</v>
      </c>
      <c r="D1191" s="648">
        <v>0</v>
      </c>
    </row>
    <row r="1192" spans="1:4" ht="12.75" customHeight="1">
      <c r="A1192" s="107">
        <v>2</v>
      </c>
      <c r="B1192" s="1323" t="s">
        <v>913</v>
      </c>
      <c r="C1192" s="1" t="s">
        <v>444</v>
      </c>
      <c r="D1192" s="648">
        <v>0</v>
      </c>
    </row>
    <row r="1193" spans="1:4" ht="12.75" customHeight="1">
      <c r="A1193" s="107">
        <v>2</v>
      </c>
      <c r="B1193" s="1324"/>
      <c r="C1193" t="s">
        <v>445</v>
      </c>
      <c r="D1193" s="648">
        <v>0</v>
      </c>
    </row>
    <row r="1194" spans="1:4" ht="12.75" customHeight="1">
      <c r="A1194" s="107">
        <v>2</v>
      </c>
      <c r="B1194" s="1324"/>
      <c r="C1194" t="s">
        <v>446</v>
      </c>
      <c r="D1194" s="648">
        <v>31995</v>
      </c>
    </row>
    <row r="1195" spans="1:4">
      <c r="A1195" s="107">
        <v>2</v>
      </c>
      <c r="B1195" s="1324"/>
      <c r="C1195" t="s">
        <v>1253</v>
      </c>
      <c r="D1195" s="648">
        <v>0</v>
      </c>
    </row>
    <row r="1196" spans="1:4" ht="12.75" customHeight="1">
      <c r="A1196" s="107">
        <v>2</v>
      </c>
      <c r="B1196" s="1324"/>
      <c r="C1196" t="s">
        <v>421</v>
      </c>
      <c r="D1196" s="648">
        <v>0</v>
      </c>
    </row>
    <row r="1197" spans="1:4" ht="12.75" customHeight="1">
      <c r="A1197" s="107">
        <v>2</v>
      </c>
      <c r="B1197" s="1323" t="s">
        <v>914</v>
      </c>
      <c r="C1197" s="1" t="s">
        <v>444</v>
      </c>
      <c r="D1197" s="648">
        <v>0</v>
      </c>
    </row>
    <row r="1198" spans="1:4">
      <c r="A1198" s="107">
        <v>2</v>
      </c>
      <c r="B1198" s="1324"/>
      <c r="C1198" t="s">
        <v>445</v>
      </c>
      <c r="D1198" s="648">
        <v>0</v>
      </c>
    </row>
    <row r="1199" spans="1:4">
      <c r="A1199" s="107">
        <v>2</v>
      </c>
      <c r="B1199" s="1324"/>
      <c r="C1199" t="s">
        <v>446</v>
      </c>
      <c r="D1199" s="648">
        <v>40160.300000000003</v>
      </c>
    </row>
    <row r="1200" spans="1:4">
      <c r="A1200" s="107">
        <v>2</v>
      </c>
      <c r="B1200" s="1324"/>
      <c r="C1200" t="s">
        <v>1253</v>
      </c>
      <c r="D1200" s="648">
        <v>0</v>
      </c>
    </row>
    <row r="1201" spans="1:4" ht="12.75" customHeight="1">
      <c r="A1201" s="107">
        <v>2</v>
      </c>
      <c r="B1201" s="1324"/>
      <c r="C1201" t="s">
        <v>421</v>
      </c>
      <c r="D1201" s="648">
        <v>0</v>
      </c>
    </row>
    <row r="1202" spans="1:4" ht="12.75" customHeight="1">
      <c r="A1202" s="107">
        <v>1</v>
      </c>
      <c r="B1202" s="1323" t="s">
        <v>915</v>
      </c>
      <c r="C1202" t="s">
        <v>444</v>
      </c>
      <c r="D1202" s="648">
        <v>565801.5</v>
      </c>
    </row>
    <row r="1203" spans="1:4">
      <c r="A1203" s="107">
        <v>1</v>
      </c>
      <c r="B1203" s="1324"/>
      <c r="C1203" t="s">
        <v>445</v>
      </c>
      <c r="D1203" s="648">
        <v>7899.2</v>
      </c>
    </row>
    <row r="1204" spans="1:4">
      <c r="A1204" s="107">
        <v>1</v>
      </c>
      <c r="B1204" s="1324"/>
      <c r="C1204" t="s">
        <v>446</v>
      </c>
      <c r="D1204" s="648">
        <v>73172.899999999994</v>
      </c>
    </row>
    <row r="1205" spans="1:4">
      <c r="A1205" s="107">
        <v>1</v>
      </c>
      <c r="B1205" s="1324"/>
      <c r="C1205" t="s">
        <v>1253</v>
      </c>
      <c r="D1205" s="648">
        <v>0</v>
      </c>
    </row>
    <row r="1206" spans="1:4" ht="12.75" customHeight="1">
      <c r="A1206" s="107">
        <v>1</v>
      </c>
      <c r="B1206" s="1324"/>
      <c r="C1206" t="s">
        <v>421</v>
      </c>
      <c r="D1206" s="648">
        <v>2380.3000000000002</v>
      </c>
    </row>
    <row r="1207" spans="1:4" ht="12.75" customHeight="1">
      <c r="A1207" s="107">
        <v>11</v>
      </c>
      <c r="B1207" s="1323" t="s">
        <v>916</v>
      </c>
      <c r="C1207" t="s">
        <v>444</v>
      </c>
      <c r="D1207" s="648">
        <v>649485.9</v>
      </c>
    </row>
    <row r="1208" spans="1:4">
      <c r="A1208" s="107">
        <v>11</v>
      </c>
      <c r="B1208" s="1324"/>
      <c r="C1208" t="s">
        <v>445</v>
      </c>
      <c r="D1208" s="648">
        <v>454309.7</v>
      </c>
    </row>
    <row r="1209" spans="1:4">
      <c r="A1209" s="107">
        <v>11</v>
      </c>
      <c r="B1209" s="1324"/>
      <c r="C1209" t="s">
        <v>446</v>
      </c>
      <c r="D1209" s="648">
        <v>0</v>
      </c>
    </row>
    <row r="1210" spans="1:4">
      <c r="A1210" s="107">
        <v>11</v>
      </c>
      <c r="B1210" s="1324"/>
      <c r="C1210" t="s">
        <v>1253</v>
      </c>
      <c r="D1210" s="648">
        <v>0</v>
      </c>
    </row>
    <row r="1211" spans="1:4">
      <c r="A1211" s="107">
        <v>11</v>
      </c>
      <c r="B1211" s="1324"/>
      <c r="C1211" t="s">
        <v>421</v>
      </c>
      <c r="D1211" s="648">
        <v>0</v>
      </c>
    </row>
    <row r="1212" spans="1:4">
      <c r="A1212" s="107">
        <v>1</v>
      </c>
      <c r="B1212" s="1323" t="s">
        <v>917</v>
      </c>
      <c r="C1212" t="s">
        <v>444</v>
      </c>
      <c r="D1212" s="648">
        <v>1631957.8</v>
      </c>
    </row>
    <row r="1213" spans="1:4">
      <c r="A1213" s="107">
        <v>1</v>
      </c>
      <c r="B1213" s="1324"/>
      <c r="C1213" t="s">
        <v>445</v>
      </c>
      <c r="D1213" s="648">
        <v>184848.6</v>
      </c>
    </row>
    <row r="1214" spans="1:4">
      <c r="A1214" s="107">
        <v>1</v>
      </c>
      <c r="B1214" s="1324"/>
      <c r="C1214" t="s">
        <v>446</v>
      </c>
      <c r="D1214" s="648">
        <v>119858.5</v>
      </c>
    </row>
    <row r="1215" spans="1:4">
      <c r="A1215" s="107">
        <v>1</v>
      </c>
      <c r="B1215" s="1324"/>
      <c r="C1215" t="s">
        <v>1253</v>
      </c>
      <c r="D1215" s="648">
        <v>0</v>
      </c>
    </row>
    <row r="1216" spans="1:4">
      <c r="A1216" s="107">
        <v>1</v>
      </c>
      <c r="B1216" s="1324"/>
      <c r="C1216" t="s">
        <v>421</v>
      </c>
      <c r="D1216" s="648">
        <v>735.8</v>
      </c>
    </row>
    <row r="1217" spans="1:4">
      <c r="A1217" s="107">
        <v>9</v>
      </c>
      <c r="B1217" s="1323" t="s">
        <v>918</v>
      </c>
      <c r="C1217" t="s">
        <v>444</v>
      </c>
      <c r="D1217" s="648">
        <v>167804.4</v>
      </c>
    </row>
    <row r="1218" spans="1:4">
      <c r="A1218" s="107">
        <v>9</v>
      </c>
      <c r="B1218" s="1324"/>
      <c r="C1218" t="s">
        <v>445</v>
      </c>
      <c r="D1218" s="648">
        <v>57422.2</v>
      </c>
    </row>
    <row r="1219" spans="1:4">
      <c r="A1219" s="107">
        <v>9</v>
      </c>
      <c r="B1219" s="1324"/>
      <c r="C1219" t="s">
        <v>446</v>
      </c>
      <c r="D1219" s="648">
        <v>64432</v>
      </c>
    </row>
    <row r="1220" spans="1:4">
      <c r="A1220" s="107">
        <v>9</v>
      </c>
      <c r="B1220" s="1324"/>
      <c r="C1220" t="s">
        <v>1253</v>
      </c>
      <c r="D1220" s="648">
        <v>0</v>
      </c>
    </row>
    <row r="1221" spans="1:4">
      <c r="A1221" s="107">
        <v>9</v>
      </c>
      <c r="B1221" s="1324"/>
      <c r="C1221" t="s">
        <v>421</v>
      </c>
      <c r="D1221" s="648">
        <v>0</v>
      </c>
    </row>
    <row r="1222" spans="1:4">
      <c r="A1222" s="107">
        <v>3</v>
      </c>
      <c r="B1222" s="1323" t="s">
        <v>919</v>
      </c>
      <c r="C1222" t="s">
        <v>444</v>
      </c>
      <c r="D1222" s="648">
        <v>69063.600000000006</v>
      </c>
    </row>
    <row r="1223" spans="1:4">
      <c r="A1223" s="107">
        <v>3</v>
      </c>
      <c r="B1223" s="1324"/>
      <c r="C1223" t="s">
        <v>445</v>
      </c>
      <c r="D1223" s="648">
        <v>0</v>
      </c>
    </row>
    <row r="1224" spans="1:4">
      <c r="A1224" s="107">
        <v>3</v>
      </c>
      <c r="B1224" s="1324"/>
      <c r="C1224" t="s">
        <v>446</v>
      </c>
      <c r="D1224" s="648">
        <v>8279.7000000000007</v>
      </c>
    </row>
    <row r="1225" spans="1:4">
      <c r="A1225" s="107">
        <v>3</v>
      </c>
      <c r="B1225" s="1324"/>
      <c r="C1225" t="s">
        <v>1253</v>
      </c>
      <c r="D1225" s="648">
        <v>0</v>
      </c>
    </row>
    <row r="1226" spans="1:4" ht="12.75" customHeight="1">
      <c r="A1226" s="107">
        <v>3</v>
      </c>
      <c r="B1226" s="1324"/>
      <c r="C1226" t="s">
        <v>421</v>
      </c>
      <c r="D1226" s="648">
        <v>0</v>
      </c>
    </row>
    <row r="1227" spans="1:4" ht="12.75" customHeight="1">
      <c r="A1227" s="107">
        <v>1</v>
      </c>
      <c r="B1227" s="1323" t="s">
        <v>920</v>
      </c>
      <c r="C1227" t="s">
        <v>444</v>
      </c>
      <c r="D1227" s="648">
        <v>169883.9</v>
      </c>
    </row>
    <row r="1228" spans="1:4">
      <c r="A1228" s="107">
        <v>1</v>
      </c>
      <c r="B1228" s="1324"/>
      <c r="C1228" t="s">
        <v>445</v>
      </c>
      <c r="D1228" s="648">
        <v>11421.4</v>
      </c>
    </row>
    <row r="1229" spans="1:4">
      <c r="A1229" s="107">
        <v>1</v>
      </c>
      <c r="B1229" s="1324"/>
      <c r="C1229" t="s">
        <v>446</v>
      </c>
      <c r="D1229" s="648">
        <v>28956.400000000001</v>
      </c>
    </row>
    <row r="1230" spans="1:4">
      <c r="A1230" s="107">
        <v>1</v>
      </c>
      <c r="B1230" s="1324"/>
      <c r="C1230" t="s">
        <v>1253</v>
      </c>
      <c r="D1230" s="648">
        <v>0</v>
      </c>
    </row>
    <row r="1231" spans="1:4" ht="12.75" customHeight="1">
      <c r="A1231" s="107">
        <v>1</v>
      </c>
      <c r="B1231" s="1324"/>
      <c r="C1231" t="s">
        <v>421</v>
      </c>
      <c r="D1231" s="648">
        <v>0</v>
      </c>
    </row>
    <row r="1232" spans="1:4" ht="12.75" customHeight="1">
      <c r="A1232" s="107">
        <v>4</v>
      </c>
      <c r="B1232" s="1323" t="s">
        <v>921</v>
      </c>
      <c r="C1232" t="s">
        <v>444</v>
      </c>
      <c r="D1232" s="648">
        <v>1078538.1000000001</v>
      </c>
    </row>
    <row r="1233" spans="1:4">
      <c r="A1233" s="107">
        <v>4</v>
      </c>
      <c r="B1233" s="1324"/>
      <c r="C1233" t="s">
        <v>445</v>
      </c>
      <c r="D1233" s="648">
        <v>23863.1</v>
      </c>
    </row>
    <row r="1234" spans="1:4">
      <c r="A1234" s="107">
        <v>4</v>
      </c>
      <c r="B1234" s="1324"/>
      <c r="C1234" t="s">
        <v>446</v>
      </c>
      <c r="D1234" s="648">
        <v>89662.3</v>
      </c>
    </row>
    <row r="1235" spans="1:4">
      <c r="A1235" s="107">
        <v>4</v>
      </c>
      <c r="B1235" s="1324"/>
      <c r="C1235" t="s">
        <v>1253</v>
      </c>
      <c r="D1235" s="648">
        <v>0</v>
      </c>
    </row>
    <row r="1236" spans="1:4">
      <c r="A1236" s="107">
        <v>4</v>
      </c>
      <c r="B1236" s="1324"/>
      <c r="C1236" t="s">
        <v>421</v>
      </c>
      <c r="D1236" s="648">
        <v>0</v>
      </c>
    </row>
    <row r="1237" spans="1:4">
      <c r="A1237" s="107">
        <v>4</v>
      </c>
      <c r="B1237" s="1323" t="s">
        <v>922</v>
      </c>
      <c r="C1237" t="s">
        <v>444</v>
      </c>
      <c r="D1237" s="648">
        <v>386771.3</v>
      </c>
    </row>
    <row r="1238" spans="1:4">
      <c r="A1238" s="107">
        <v>4</v>
      </c>
      <c r="B1238" s="1324"/>
      <c r="C1238" t="s">
        <v>445</v>
      </c>
      <c r="D1238" s="648">
        <v>0</v>
      </c>
    </row>
    <row r="1239" spans="1:4">
      <c r="A1239" s="107">
        <v>4</v>
      </c>
      <c r="B1239" s="1324"/>
      <c r="C1239" t="s">
        <v>446</v>
      </c>
      <c r="D1239" s="648">
        <v>46389.3</v>
      </c>
    </row>
    <row r="1240" spans="1:4">
      <c r="A1240" s="107">
        <v>4</v>
      </c>
      <c r="B1240" s="1324"/>
      <c r="C1240" t="s">
        <v>1253</v>
      </c>
      <c r="D1240" s="648">
        <v>0</v>
      </c>
    </row>
    <row r="1241" spans="1:4" ht="12.75" customHeight="1">
      <c r="A1241" s="107">
        <v>4</v>
      </c>
      <c r="B1241" s="1324"/>
      <c r="C1241" t="s">
        <v>421</v>
      </c>
      <c r="D1241" s="648">
        <v>2379.8000000000002</v>
      </c>
    </row>
    <row r="1242" spans="1:4" ht="12.75" customHeight="1">
      <c r="A1242" s="107">
        <v>2</v>
      </c>
      <c r="B1242" s="1323" t="s">
        <v>923</v>
      </c>
      <c r="C1242" t="s">
        <v>444</v>
      </c>
      <c r="D1242" s="648">
        <v>1909.2</v>
      </c>
    </row>
    <row r="1243" spans="1:4">
      <c r="A1243" s="107">
        <v>2</v>
      </c>
      <c r="B1243" s="1324"/>
      <c r="C1243" t="s">
        <v>445</v>
      </c>
      <c r="D1243" s="648">
        <v>13156.8</v>
      </c>
    </row>
    <row r="1244" spans="1:4">
      <c r="A1244" s="107">
        <v>2</v>
      </c>
      <c r="B1244" s="1324"/>
      <c r="C1244" t="s">
        <v>446</v>
      </c>
      <c r="D1244" s="648">
        <v>98056.8</v>
      </c>
    </row>
    <row r="1245" spans="1:4">
      <c r="A1245" s="107">
        <v>2</v>
      </c>
      <c r="B1245" s="1324"/>
      <c r="C1245" t="s">
        <v>1253</v>
      </c>
      <c r="D1245" s="648">
        <v>0</v>
      </c>
    </row>
    <row r="1246" spans="1:4">
      <c r="A1246" s="107">
        <v>2</v>
      </c>
      <c r="B1246" s="1324"/>
      <c r="C1246" t="s">
        <v>421</v>
      </c>
      <c r="D1246" s="648">
        <v>0</v>
      </c>
    </row>
    <row r="1247" spans="1:4">
      <c r="A1247" s="107">
        <v>2</v>
      </c>
      <c r="B1247" s="1323" t="s">
        <v>924</v>
      </c>
      <c r="C1247" t="s">
        <v>444</v>
      </c>
      <c r="D1247" s="648">
        <v>0</v>
      </c>
    </row>
    <row r="1248" spans="1:4">
      <c r="A1248" s="107">
        <v>2</v>
      </c>
      <c r="B1248" s="1324"/>
      <c r="C1248" t="s">
        <v>445</v>
      </c>
      <c r="D1248" s="648">
        <v>0</v>
      </c>
    </row>
    <row r="1249" spans="1:4">
      <c r="A1249" s="107">
        <v>2</v>
      </c>
      <c r="B1249" s="1324"/>
      <c r="C1249" t="s">
        <v>446</v>
      </c>
      <c r="D1249" s="648">
        <v>16574.5</v>
      </c>
    </row>
    <row r="1250" spans="1:4">
      <c r="A1250" s="107">
        <v>2</v>
      </c>
      <c r="B1250" s="1324"/>
      <c r="C1250" t="s">
        <v>1253</v>
      </c>
      <c r="D1250" s="648">
        <v>0</v>
      </c>
    </row>
    <row r="1251" spans="1:4">
      <c r="A1251" s="107">
        <v>2</v>
      </c>
      <c r="B1251" s="1324"/>
      <c r="C1251" t="s">
        <v>421</v>
      </c>
      <c r="D1251" s="648">
        <v>0</v>
      </c>
    </row>
    <row r="1252" spans="1:4">
      <c r="A1252" s="107">
        <v>1</v>
      </c>
      <c r="B1252" s="1324" t="s">
        <v>1545</v>
      </c>
      <c r="C1252" t="s">
        <v>444</v>
      </c>
      <c r="D1252" s="648">
        <v>50842.8</v>
      </c>
    </row>
    <row r="1253" spans="1:4">
      <c r="A1253" s="107">
        <v>1</v>
      </c>
      <c r="B1253" s="1324"/>
      <c r="C1253" t="s">
        <v>445</v>
      </c>
      <c r="D1253" s="648">
        <v>0</v>
      </c>
    </row>
    <row r="1254" spans="1:4">
      <c r="A1254" s="107">
        <v>1</v>
      </c>
      <c r="B1254" s="1324"/>
      <c r="C1254" t="s">
        <v>446</v>
      </c>
      <c r="D1254" s="648">
        <v>0</v>
      </c>
    </row>
    <row r="1255" spans="1:4">
      <c r="A1255" s="107">
        <v>1</v>
      </c>
      <c r="B1255" s="1324"/>
      <c r="C1255" t="s">
        <v>1253</v>
      </c>
      <c r="D1255" s="648">
        <v>0</v>
      </c>
    </row>
    <row r="1256" spans="1:4">
      <c r="A1256" s="107">
        <v>1</v>
      </c>
      <c r="B1256" s="1324"/>
      <c r="C1256" t="s">
        <v>421</v>
      </c>
      <c r="D1256" s="648">
        <v>0</v>
      </c>
    </row>
    <row r="1257" spans="1:4">
      <c r="A1257" s="107">
        <v>2</v>
      </c>
      <c r="B1257" s="1324" t="s">
        <v>1547</v>
      </c>
      <c r="C1257" t="s">
        <v>444</v>
      </c>
      <c r="D1257" s="648">
        <v>0</v>
      </c>
    </row>
    <row r="1258" spans="1:4">
      <c r="A1258" s="107">
        <v>2</v>
      </c>
      <c r="B1258" s="1324"/>
      <c r="C1258" t="s">
        <v>445</v>
      </c>
      <c r="D1258" s="648">
        <v>0</v>
      </c>
    </row>
    <row r="1259" spans="1:4">
      <c r="A1259" s="107">
        <v>2</v>
      </c>
      <c r="B1259" s="1324"/>
      <c r="C1259" t="s">
        <v>446</v>
      </c>
      <c r="D1259" s="648">
        <v>193179.1</v>
      </c>
    </row>
    <row r="1260" spans="1:4">
      <c r="A1260" s="107">
        <v>2</v>
      </c>
      <c r="B1260" s="1324"/>
      <c r="C1260" t="s">
        <v>1253</v>
      </c>
      <c r="D1260" s="648">
        <v>0</v>
      </c>
    </row>
    <row r="1261" spans="1:4">
      <c r="A1261" s="107">
        <v>2</v>
      </c>
      <c r="B1261" s="1325"/>
      <c r="C1261" t="s">
        <v>421</v>
      </c>
      <c r="D1261" s="648">
        <v>0</v>
      </c>
    </row>
    <row r="1262" spans="1:4">
      <c r="A1262" s="107">
        <v>2</v>
      </c>
      <c r="B1262" s="1323" t="s">
        <v>2139</v>
      </c>
      <c r="C1262" t="s">
        <v>444</v>
      </c>
      <c r="D1262" s="648">
        <v>0</v>
      </c>
    </row>
    <row r="1263" spans="1:4">
      <c r="A1263" s="107">
        <v>2</v>
      </c>
      <c r="B1263" s="1324"/>
      <c r="C1263" t="s">
        <v>445</v>
      </c>
      <c r="D1263" s="648">
        <v>0</v>
      </c>
    </row>
    <row r="1264" spans="1:4">
      <c r="A1264" s="107">
        <v>2</v>
      </c>
      <c r="B1264" s="1324"/>
      <c r="C1264" t="s">
        <v>446</v>
      </c>
      <c r="D1264" s="648">
        <v>21588.799999999999</v>
      </c>
    </row>
    <row r="1265" spans="1:4">
      <c r="A1265" s="107">
        <v>2</v>
      </c>
      <c r="B1265" s="1324"/>
      <c r="C1265" t="s">
        <v>1253</v>
      </c>
      <c r="D1265" s="648">
        <v>0</v>
      </c>
    </row>
    <row r="1266" spans="1:4">
      <c r="A1266" s="107">
        <v>2</v>
      </c>
      <c r="B1266" s="1324"/>
      <c r="C1266" t="s">
        <v>421</v>
      </c>
      <c r="D1266" s="648">
        <v>0</v>
      </c>
    </row>
    <row r="1267" spans="1:4">
      <c r="A1267" s="107">
        <v>1</v>
      </c>
      <c r="B1267" s="1324" t="s">
        <v>2140</v>
      </c>
      <c r="C1267" t="s">
        <v>444</v>
      </c>
      <c r="D1267" s="648">
        <v>5000</v>
      </c>
    </row>
    <row r="1268" spans="1:4">
      <c r="A1268" s="107">
        <v>1</v>
      </c>
      <c r="B1268" s="1324"/>
      <c r="C1268" t="s">
        <v>445</v>
      </c>
      <c r="D1268" s="648">
        <v>0</v>
      </c>
    </row>
    <row r="1269" spans="1:4">
      <c r="A1269" s="107">
        <v>1</v>
      </c>
      <c r="B1269" s="1324"/>
      <c r="C1269" t="s">
        <v>446</v>
      </c>
      <c r="D1269" s="648">
        <v>0</v>
      </c>
    </row>
    <row r="1270" spans="1:4">
      <c r="A1270" s="107">
        <v>1</v>
      </c>
      <c r="B1270" s="1324"/>
      <c r="C1270" t="s">
        <v>1253</v>
      </c>
      <c r="D1270" s="648">
        <v>0</v>
      </c>
    </row>
    <row r="1271" spans="1:4">
      <c r="A1271" s="107">
        <v>1</v>
      </c>
      <c r="B1271" s="1325"/>
      <c r="C1271" t="s">
        <v>421</v>
      </c>
      <c r="D1271" s="648">
        <v>0</v>
      </c>
    </row>
    <row r="1272" spans="1:4" s="645" customFormat="1">
      <c r="A1272" s="644">
        <v>1</v>
      </c>
      <c r="B1272" s="1323" t="s">
        <v>925</v>
      </c>
      <c r="C1272" s="645" t="s">
        <v>444</v>
      </c>
      <c r="D1272" s="113">
        <v>288195</v>
      </c>
    </row>
    <row r="1273" spans="1:4">
      <c r="A1273" s="107">
        <v>1</v>
      </c>
      <c r="B1273" s="1324"/>
      <c r="C1273" t="s">
        <v>445</v>
      </c>
      <c r="D1273" s="113">
        <v>0</v>
      </c>
    </row>
    <row r="1274" spans="1:4">
      <c r="A1274" s="107">
        <v>1</v>
      </c>
      <c r="B1274" s="1324"/>
      <c r="C1274" t="s">
        <v>446</v>
      </c>
      <c r="D1274" s="113">
        <v>70119.899999999994</v>
      </c>
    </row>
    <row r="1275" spans="1:4">
      <c r="A1275" s="107">
        <v>1</v>
      </c>
      <c r="B1275" s="1324"/>
      <c r="C1275" t="s">
        <v>1253</v>
      </c>
      <c r="D1275" s="113">
        <v>0</v>
      </c>
    </row>
    <row r="1276" spans="1:4">
      <c r="A1276" s="107">
        <v>1</v>
      </c>
      <c r="B1276" s="1325"/>
      <c r="C1276" t="s">
        <v>421</v>
      </c>
      <c r="D1276" s="113">
        <v>2967.2</v>
      </c>
    </row>
    <row r="1277" spans="1:4">
      <c r="A1277" s="107">
        <v>1</v>
      </c>
      <c r="B1277" s="1323" t="s">
        <v>926</v>
      </c>
      <c r="C1277" t="s">
        <v>444</v>
      </c>
      <c r="D1277" s="113">
        <v>24023</v>
      </c>
    </row>
    <row r="1278" spans="1:4">
      <c r="A1278" s="107">
        <v>1</v>
      </c>
      <c r="B1278" s="1324"/>
      <c r="C1278" t="s">
        <v>445</v>
      </c>
      <c r="D1278" s="113">
        <v>0</v>
      </c>
    </row>
    <row r="1279" spans="1:4">
      <c r="A1279" s="107">
        <v>1</v>
      </c>
      <c r="B1279" s="1324"/>
      <c r="C1279" t="s">
        <v>446</v>
      </c>
      <c r="D1279" s="113">
        <v>30664.7</v>
      </c>
    </row>
    <row r="1280" spans="1:4">
      <c r="A1280" s="107">
        <v>1</v>
      </c>
      <c r="B1280" s="1324"/>
      <c r="C1280" t="s">
        <v>1253</v>
      </c>
      <c r="D1280" s="113">
        <v>0</v>
      </c>
    </row>
    <row r="1281" spans="1:4" ht="12.75" customHeight="1">
      <c r="A1281" s="107">
        <v>1</v>
      </c>
      <c r="B1281" s="1324"/>
      <c r="C1281" t="s">
        <v>421</v>
      </c>
      <c r="D1281" s="113">
        <v>0</v>
      </c>
    </row>
    <row r="1282" spans="1:4" ht="12.75" customHeight="1">
      <c r="A1282" s="107">
        <v>2</v>
      </c>
      <c r="B1282" s="1323" t="s">
        <v>927</v>
      </c>
      <c r="C1282" t="s">
        <v>444</v>
      </c>
      <c r="D1282" s="113">
        <v>0</v>
      </c>
    </row>
    <row r="1283" spans="1:4">
      <c r="A1283" s="107">
        <v>2</v>
      </c>
      <c r="B1283" s="1324"/>
      <c r="C1283" t="s">
        <v>445</v>
      </c>
      <c r="D1283" s="113">
        <v>0</v>
      </c>
    </row>
    <row r="1284" spans="1:4">
      <c r="A1284" s="107">
        <v>2</v>
      </c>
      <c r="B1284" s="1324"/>
      <c r="C1284" t="s">
        <v>446</v>
      </c>
      <c r="D1284" s="113">
        <v>12909.2</v>
      </c>
    </row>
    <row r="1285" spans="1:4">
      <c r="A1285" s="107">
        <v>2</v>
      </c>
      <c r="B1285" s="1324"/>
      <c r="C1285" t="s">
        <v>1253</v>
      </c>
      <c r="D1285" s="113">
        <v>0</v>
      </c>
    </row>
    <row r="1286" spans="1:4">
      <c r="A1286" s="107">
        <v>2</v>
      </c>
      <c r="B1286" s="1324"/>
      <c r="C1286" t="s">
        <v>421</v>
      </c>
      <c r="D1286" s="113">
        <v>0</v>
      </c>
    </row>
    <row r="1287" spans="1:4">
      <c r="A1287" s="107">
        <v>2</v>
      </c>
      <c r="B1287" s="1323" t="s">
        <v>928</v>
      </c>
      <c r="C1287" t="s">
        <v>444</v>
      </c>
      <c r="D1287" s="113">
        <v>0</v>
      </c>
    </row>
    <row r="1288" spans="1:4">
      <c r="A1288" s="107">
        <v>2</v>
      </c>
      <c r="B1288" s="1324"/>
      <c r="C1288" t="s">
        <v>445</v>
      </c>
      <c r="D1288" s="113">
        <v>0</v>
      </c>
    </row>
    <row r="1289" spans="1:4">
      <c r="A1289" s="107">
        <v>2</v>
      </c>
      <c r="B1289" s="1324"/>
      <c r="C1289" t="s">
        <v>446</v>
      </c>
      <c r="D1289" s="113">
        <v>5475.4</v>
      </c>
    </row>
    <row r="1290" spans="1:4">
      <c r="A1290" s="107">
        <v>2</v>
      </c>
      <c r="B1290" s="1324"/>
      <c r="C1290" t="s">
        <v>1253</v>
      </c>
      <c r="D1290" s="113">
        <v>0</v>
      </c>
    </row>
    <row r="1291" spans="1:4">
      <c r="A1291" s="107">
        <v>2</v>
      </c>
      <c r="B1291" s="1324"/>
      <c r="C1291" t="s">
        <v>421</v>
      </c>
      <c r="D1291" s="113">
        <v>0</v>
      </c>
    </row>
    <row r="1292" spans="1:4">
      <c r="A1292" s="107">
        <v>2</v>
      </c>
      <c r="B1292" s="1323" t="s">
        <v>929</v>
      </c>
      <c r="C1292" t="s">
        <v>444</v>
      </c>
      <c r="D1292" s="113">
        <v>0</v>
      </c>
    </row>
    <row r="1293" spans="1:4">
      <c r="A1293" s="107">
        <v>2</v>
      </c>
      <c r="B1293" s="1324"/>
      <c r="C1293" t="s">
        <v>445</v>
      </c>
      <c r="D1293" s="113">
        <v>0</v>
      </c>
    </row>
    <row r="1294" spans="1:4">
      <c r="A1294" s="107">
        <v>2</v>
      </c>
      <c r="B1294" s="1324"/>
      <c r="C1294" t="s">
        <v>446</v>
      </c>
      <c r="D1294" s="113">
        <v>54100.7</v>
      </c>
    </row>
    <row r="1295" spans="1:4">
      <c r="A1295" s="107">
        <v>2</v>
      </c>
      <c r="B1295" s="1324"/>
      <c r="C1295" t="s">
        <v>1253</v>
      </c>
      <c r="D1295" s="113">
        <v>0</v>
      </c>
    </row>
    <row r="1296" spans="1:4">
      <c r="A1296" s="107">
        <v>2</v>
      </c>
      <c r="B1296" s="1324"/>
      <c r="C1296" t="s">
        <v>421</v>
      </c>
      <c r="D1296" s="113">
        <v>0</v>
      </c>
    </row>
    <row r="1297" spans="1:4">
      <c r="A1297" s="107">
        <v>1</v>
      </c>
      <c r="B1297" s="1323" t="s">
        <v>930</v>
      </c>
      <c r="C1297" t="s">
        <v>444</v>
      </c>
      <c r="D1297" s="113">
        <v>100719.4</v>
      </c>
    </row>
    <row r="1298" spans="1:4">
      <c r="A1298" s="107">
        <v>1</v>
      </c>
      <c r="B1298" s="1324"/>
      <c r="C1298" t="s">
        <v>445</v>
      </c>
      <c r="D1298" s="113">
        <v>0</v>
      </c>
    </row>
    <row r="1299" spans="1:4">
      <c r="A1299" s="107">
        <v>1</v>
      </c>
      <c r="B1299" s="1324"/>
      <c r="C1299" t="s">
        <v>446</v>
      </c>
      <c r="D1299" s="113">
        <v>46675.5</v>
      </c>
    </row>
    <row r="1300" spans="1:4">
      <c r="A1300" s="107">
        <v>1</v>
      </c>
      <c r="B1300" s="1324"/>
      <c r="C1300" t="s">
        <v>1253</v>
      </c>
      <c r="D1300" s="113">
        <v>0</v>
      </c>
    </row>
    <row r="1301" spans="1:4">
      <c r="A1301" s="107">
        <v>1</v>
      </c>
      <c r="B1301" s="1324"/>
      <c r="C1301" t="s">
        <v>421</v>
      </c>
      <c r="D1301" s="113">
        <v>0</v>
      </c>
    </row>
    <row r="1302" spans="1:4">
      <c r="A1302" s="107">
        <v>2</v>
      </c>
      <c r="B1302" s="1323" t="s">
        <v>931</v>
      </c>
      <c r="C1302" t="s">
        <v>444</v>
      </c>
      <c r="D1302" s="113">
        <v>0</v>
      </c>
    </row>
    <row r="1303" spans="1:4">
      <c r="A1303" s="107">
        <v>2</v>
      </c>
      <c r="B1303" s="1324"/>
      <c r="C1303" t="s">
        <v>445</v>
      </c>
      <c r="D1303" s="113">
        <v>0</v>
      </c>
    </row>
    <row r="1304" spans="1:4">
      <c r="A1304" s="107">
        <v>2</v>
      </c>
      <c r="B1304" s="1324"/>
      <c r="C1304" t="s">
        <v>446</v>
      </c>
      <c r="D1304" s="113">
        <v>8507</v>
      </c>
    </row>
    <row r="1305" spans="1:4">
      <c r="A1305" s="107">
        <v>2</v>
      </c>
      <c r="B1305" s="1324"/>
      <c r="C1305" t="s">
        <v>1253</v>
      </c>
      <c r="D1305" s="113">
        <v>0</v>
      </c>
    </row>
    <row r="1306" spans="1:4">
      <c r="A1306" s="107">
        <v>2</v>
      </c>
      <c r="B1306" s="1324"/>
      <c r="C1306" t="s">
        <v>421</v>
      </c>
      <c r="D1306" s="113">
        <v>0</v>
      </c>
    </row>
    <row r="1307" spans="1:4">
      <c r="A1307" s="107">
        <v>2</v>
      </c>
      <c r="B1307" s="1323" t="s">
        <v>932</v>
      </c>
      <c r="C1307" t="s">
        <v>444</v>
      </c>
      <c r="D1307" s="113">
        <v>0</v>
      </c>
    </row>
    <row r="1308" spans="1:4">
      <c r="A1308" s="107">
        <v>2</v>
      </c>
      <c r="B1308" s="1324"/>
      <c r="C1308" t="s">
        <v>445</v>
      </c>
      <c r="D1308" s="113">
        <v>0</v>
      </c>
    </row>
    <row r="1309" spans="1:4">
      <c r="A1309" s="107">
        <v>2</v>
      </c>
      <c r="B1309" s="1324"/>
      <c r="C1309" t="s">
        <v>446</v>
      </c>
      <c r="D1309" s="113">
        <v>12705.6</v>
      </c>
    </row>
    <row r="1310" spans="1:4">
      <c r="A1310" s="107">
        <v>2</v>
      </c>
      <c r="B1310" s="1324"/>
      <c r="C1310" t="s">
        <v>1253</v>
      </c>
      <c r="D1310" s="113">
        <v>0</v>
      </c>
    </row>
    <row r="1311" spans="1:4">
      <c r="A1311" s="107">
        <v>2</v>
      </c>
      <c r="B1311" s="1324"/>
      <c r="C1311" t="s">
        <v>421</v>
      </c>
      <c r="D1311" s="113">
        <v>0</v>
      </c>
    </row>
    <row r="1312" spans="1:4">
      <c r="A1312" s="107">
        <v>1</v>
      </c>
      <c r="B1312" s="1323" t="s">
        <v>933</v>
      </c>
      <c r="C1312" t="s">
        <v>444</v>
      </c>
      <c r="D1312" s="113">
        <v>82702.2</v>
      </c>
    </row>
    <row r="1313" spans="1:4">
      <c r="A1313" s="107">
        <v>1</v>
      </c>
      <c r="B1313" s="1324"/>
      <c r="C1313" t="s">
        <v>445</v>
      </c>
      <c r="D1313" s="113">
        <v>0</v>
      </c>
    </row>
    <row r="1314" spans="1:4">
      <c r="A1314" s="107">
        <v>1</v>
      </c>
      <c r="B1314" s="1324"/>
      <c r="C1314" t="s">
        <v>446</v>
      </c>
      <c r="D1314" s="113">
        <v>52902.7</v>
      </c>
    </row>
    <row r="1315" spans="1:4">
      <c r="A1315" s="107">
        <v>1</v>
      </c>
      <c r="B1315" s="1324"/>
      <c r="C1315" t="s">
        <v>1253</v>
      </c>
      <c r="D1315" s="113">
        <v>0</v>
      </c>
    </row>
    <row r="1316" spans="1:4" ht="12.75" customHeight="1">
      <c r="A1316" s="107">
        <v>1</v>
      </c>
      <c r="B1316" s="1324"/>
      <c r="C1316" t="s">
        <v>421</v>
      </c>
      <c r="D1316" s="113">
        <v>0</v>
      </c>
    </row>
    <row r="1317" spans="1:4" ht="12.75" customHeight="1">
      <c r="A1317" s="107">
        <v>2</v>
      </c>
      <c r="B1317" s="1323" t="s">
        <v>934</v>
      </c>
      <c r="C1317" t="s">
        <v>444</v>
      </c>
      <c r="D1317" s="113">
        <v>0</v>
      </c>
    </row>
    <row r="1318" spans="1:4">
      <c r="A1318" s="107">
        <v>2</v>
      </c>
      <c r="B1318" s="1324"/>
      <c r="C1318" t="s">
        <v>445</v>
      </c>
      <c r="D1318" s="113">
        <v>0</v>
      </c>
    </row>
    <row r="1319" spans="1:4">
      <c r="A1319" s="107">
        <v>2</v>
      </c>
      <c r="B1319" s="1324"/>
      <c r="C1319" t="s">
        <v>446</v>
      </c>
      <c r="D1319" s="113">
        <v>1545.6</v>
      </c>
    </row>
    <row r="1320" spans="1:4">
      <c r="A1320" s="107">
        <v>2</v>
      </c>
      <c r="B1320" s="1324"/>
      <c r="C1320" t="s">
        <v>1253</v>
      </c>
      <c r="D1320" s="113">
        <v>0</v>
      </c>
    </row>
    <row r="1321" spans="1:4">
      <c r="A1321" s="107">
        <v>2</v>
      </c>
      <c r="B1321" s="1324"/>
      <c r="C1321" t="s">
        <v>421</v>
      </c>
      <c r="D1321" s="113">
        <v>0</v>
      </c>
    </row>
    <row r="1322" spans="1:4">
      <c r="A1322" s="107">
        <v>4</v>
      </c>
      <c r="B1322" s="1323" t="s">
        <v>935</v>
      </c>
      <c r="C1322" t="s">
        <v>444</v>
      </c>
      <c r="D1322" s="113">
        <v>2206672.7999999998</v>
      </c>
    </row>
    <row r="1323" spans="1:4">
      <c r="A1323" s="107">
        <v>4</v>
      </c>
      <c r="B1323" s="1324"/>
      <c r="C1323" t="s">
        <v>445</v>
      </c>
      <c r="D1323" s="113">
        <v>55800.1</v>
      </c>
    </row>
    <row r="1324" spans="1:4">
      <c r="A1324" s="107">
        <v>4</v>
      </c>
      <c r="B1324" s="1324"/>
      <c r="C1324" t="s">
        <v>446</v>
      </c>
      <c r="D1324" s="113">
        <v>116174.3</v>
      </c>
    </row>
    <row r="1325" spans="1:4">
      <c r="A1325" s="107">
        <v>4</v>
      </c>
      <c r="B1325" s="1324"/>
      <c r="C1325" t="s">
        <v>1253</v>
      </c>
      <c r="D1325" s="113">
        <v>0</v>
      </c>
    </row>
    <row r="1326" spans="1:4">
      <c r="A1326" s="107">
        <v>4</v>
      </c>
      <c r="B1326" s="1324"/>
      <c r="C1326" t="s">
        <v>421</v>
      </c>
      <c r="D1326" s="113">
        <v>51560.5</v>
      </c>
    </row>
    <row r="1327" spans="1:4">
      <c r="A1327" s="107">
        <v>2</v>
      </c>
      <c r="B1327" s="1323" t="s">
        <v>936</v>
      </c>
      <c r="C1327" t="s">
        <v>444</v>
      </c>
      <c r="D1327" s="113">
        <v>0</v>
      </c>
    </row>
    <row r="1328" spans="1:4">
      <c r="A1328" s="107">
        <v>2</v>
      </c>
      <c r="B1328" s="1324"/>
      <c r="C1328" t="s">
        <v>445</v>
      </c>
      <c r="D1328" s="113">
        <v>0</v>
      </c>
    </row>
    <row r="1329" spans="1:4">
      <c r="A1329" s="107">
        <v>2</v>
      </c>
      <c r="B1329" s="1324"/>
      <c r="C1329" t="s">
        <v>446</v>
      </c>
      <c r="D1329" s="113">
        <v>8974.1</v>
      </c>
    </row>
    <row r="1330" spans="1:4">
      <c r="A1330" s="107">
        <v>2</v>
      </c>
      <c r="B1330" s="1324"/>
      <c r="C1330" t="s">
        <v>1253</v>
      </c>
      <c r="D1330" s="113">
        <v>0</v>
      </c>
    </row>
    <row r="1331" spans="1:4">
      <c r="A1331" s="107">
        <v>2</v>
      </c>
      <c r="B1331" s="1324"/>
      <c r="C1331" t="s">
        <v>421</v>
      </c>
      <c r="D1331" s="113">
        <v>0</v>
      </c>
    </row>
    <row r="1332" spans="1:4">
      <c r="A1332" s="107">
        <v>1</v>
      </c>
      <c r="B1332" s="1323" t="s">
        <v>937</v>
      </c>
      <c r="C1332" t="s">
        <v>444</v>
      </c>
      <c r="D1332" s="113">
        <v>90743.2</v>
      </c>
    </row>
    <row r="1333" spans="1:4">
      <c r="A1333" s="107">
        <v>1</v>
      </c>
      <c r="B1333" s="1324"/>
      <c r="C1333" t="s">
        <v>445</v>
      </c>
      <c r="D1333" s="113">
        <v>0</v>
      </c>
    </row>
    <row r="1334" spans="1:4">
      <c r="A1334" s="107">
        <v>1</v>
      </c>
      <c r="B1334" s="1324"/>
      <c r="C1334" t="s">
        <v>446</v>
      </c>
      <c r="D1334" s="113">
        <v>55911.199999999997</v>
      </c>
    </row>
    <row r="1335" spans="1:4">
      <c r="A1335" s="107">
        <v>1</v>
      </c>
      <c r="B1335" s="1324"/>
      <c r="C1335" t="s">
        <v>1253</v>
      </c>
      <c r="D1335" s="113">
        <v>0</v>
      </c>
    </row>
    <row r="1336" spans="1:4" ht="12.75" customHeight="1">
      <c r="A1336" s="107">
        <v>1</v>
      </c>
      <c r="B1336" s="1324"/>
      <c r="C1336" t="s">
        <v>421</v>
      </c>
      <c r="D1336" s="113">
        <v>0</v>
      </c>
    </row>
    <row r="1337" spans="1:4" ht="12.75" customHeight="1">
      <c r="A1337" s="107">
        <v>2</v>
      </c>
      <c r="B1337" s="1323" t="s">
        <v>938</v>
      </c>
      <c r="C1337" t="s">
        <v>444</v>
      </c>
      <c r="D1337" s="113">
        <v>0</v>
      </c>
    </row>
    <row r="1338" spans="1:4">
      <c r="A1338" s="107">
        <v>2</v>
      </c>
      <c r="B1338" s="1324"/>
      <c r="C1338" t="s">
        <v>445</v>
      </c>
      <c r="D1338" s="113">
        <v>0</v>
      </c>
    </row>
    <row r="1339" spans="1:4">
      <c r="A1339" s="107">
        <v>2</v>
      </c>
      <c r="B1339" s="1324"/>
      <c r="C1339" t="s">
        <v>446</v>
      </c>
      <c r="D1339" s="113">
        <v>5316.2</v>
      </c>
    </row>
    <row r="1340" spans="1:4">
      <c r="A1340" s="107">
        <v>2</v>
      </c>
      <c r="B1340" s="1324"/>
      <c r="C1340" t="s">
        <v>1253</v>
      </c>
      <c r="D1340" s="113">
        <v>0</v>
      </c>
    </row>
    <row r="1341" spans="1:4" ht="12.75" customHeight="1">
      <c r="A1341" s="107">
        <v>2</v>
      </c>
      <c r="B1341" s="1324"/>
      <c r="C1341" t="s">
        <v>421</v>
      </c>
      <c r="D1341" s="113">
        <v>0</v>
      </c>
    </row>
    <row r="1342" spans="1:4" ht="12.75" customHeight="1">
      <c r="A1342" s="107">
        <v>1</v>
      </c>
      <c r="B1342" s="1323" t="s">
        <v>939</v>
      </c>
      <c r="C1342" t="s">
        <v>444</v>
      </c>
      <c r="D1342" s="113">
        <v>450361</v>
      </c>
    </row>
    <row r="1343" spans="1:4">
      <c r="A1343" s="107">
        <v>1</v>
      </c>
      <c r="B1343" s="1324"/>
      <c r="C1343" t="s">
        <v>445</v>
      </c>
      <c r="D1343" s="113">
        <v>0</v>
      </c>
    </row>
    <row r="1344" spans="1:4">
      <c r="A1344" s="107">
        <v>1</v>
      </c>
      <c r="B1344" s="1324"/>
      <c r="C1344" t="s">
        <v>446</v>
      </c>
      <c r="D1344" s="113">
        <v>83948.9</v>
      </c>
    </row>
    <row r="1345" spans="1:4">
      <c r="A1345" s="107">
        <v>1</v>
      </c>
      <c r="B1345" s="1324"/>
      <c r="C1345" t="s">
        <v>1253</v>
      </c>
      <c r="D1345" s="113">
        <v>0</v>
      </c>
    </row>
    <row r="1346" spans="1:4">
      <c r="A1346" s="107">
        <v>1</v>
      </c>
      <c r="B1346" s="1324"/>
      <c r="C1346" t="s">
        <v>421</v>
      </c>
      <c r="D1346" s="113">
        <v>0</v>
      </c>
    </row>
    <row r="1347" spans="1:4">
      <c r="A1347" s="107">
        <v>1</v>
      </c>
      <c r="B1347" s="1323" t="s">
        <v>940</v>
      </c>
      <c r="C1347" t="s">
        <v>444</v>
      </c>
      <c r="D1347" s="113">
        <v>1729215.5</v>
      </c>
    </row>
    <row r="1348" spans="1:4">
      <c r="A1348" s="107">
        <v>1</v>
      </c>
      <c r="B1348" s="1324"/>
      <c r="C1348" t="s">
        <v>445</v>
      </c>
      <c r="D1348" s="113">
        <v>31634</v>
      </c>
    </row>
    <row r="1349" spans="1:4">
      <c r="A1349" s="107">
        <v>1</v>
      </c>
      <c r="B1349" s="1324"/>
      <c r="C1349" t="s">
        <v>446</v>
      </c>
      <c r="D1349" s="113">
        <v>105090.1</v>
      </c>
    </row>
    <row r="1350" spans="1:4">
      <c r="A1350" s="107">
        <v>1</v>
      </c>
      <c r="B1350" s="1324"/>
      <c r="C1350" t="s">
        <v>1253</v>
      </c>
      <c r="D1350" s="113">
        <v>0</v>
      </c>
    </row>
    <row r="1351" spans="1:4">
      <c r="A1351" s="107">
        <v>1</v>
      </c>
      <c r="B1351" s="1324"/>
      <c r="C1351" t="s">
        <v>421</v>
      </c>
      <c r="D1351" s="113">
        <v>0</v>
      </c>
    </row>
    <row r="1352" spans="1:4">
      <c r="A1352" s="107">
        <v>1</v>
      </c>
      <c r="B1352" s="1323" t="s">
        <v>941</v>
      </c>
      <c r="C1352" t="s">
        <v>444</v>
      </c>
      <c r="D1352" s="113">
        <v>110676.2</v>
      </c>
    </row>
    <row r="1353" spans="1:4">
      <c r="A1353" s="107">
        <v>1</v>
      </c>
      <c r="B1353" s="1324"/>
      <c r="C1353" t="s">
        <v>445</v>
      </c>
      <c r="D1353" s="113">
        <v>0</v>
      </c>
    </row>
    <row r="1354" spans="1:4">
      <c r="A1354" s="107">
        <v>1</v>
      </c>
      <c r="B1354" s="1324"/>
      <c r="C1354" t="s">
        <v>446</v>
      </c>
      <c r="D1354" s="113">
        <v>3953.9</v>
      </c>
    </row>
    <row r="1355" spans="1:4">
      <c r="A1355" s="107">
        <v>1</v>
      </c>
      <c r="B1355" s="1324"/>
      <c r="C1355" t="s">
        <v>1253</v>
      </c>
      <c r="D1355" s="113">
        <v>0</v>
      </c>
    </row>
    <row r="1356" spans="1:4">
      <c r="A1356" s="107">
        <v>1</v>
      </c>
      <c r="B1356" s="1324"/>
      <c r="C1356" t="s">
        <v>421</v>
      </c>
      <c r="D1356" s="113">
        <v>0</v>
      </c>
    </row>
    <row r="1357" spans="1:4">
      <c r="A1357" s="107">
        <v>1</v>
      </c>
      <c r="B1357" s="1323" t="s">
        <v>943</v>
      </c>
      <c r="C1357" t="s">
        <v>444</v>
      </c>
      <c r="D1357" s="113">
        <v>609563.80000000005</v>
      </c>
    </row>
    <row r="1358" spans="1:4">
      <c r="A1358" s="107">
        <v>1</v>
      </c>
      <c r="B1358" s="1324"/>
      <c r="C1358" t="s">
        <v>445</v>
      </c>
      <c r="D1358" s="113">
        <v>0</v>
      </c>
    </row>
    <row r="1359" spans="1:4">
      <c r="A1359" s="107">
        <v>1</v>
      </c>
      <c r="B1359" s="1324"/>
      <c r="C1359" t="s">
        <v>446</v>
      </c>
      <c r="D1359" s="113">
        <v>152117.5</v>
      </c>
    </row>
    <row r="1360" spans="1:4">
      <c r="A1360" s="107">
        <v>1</v>
      </c>
      <c r="B1360" s="1324"/>
      <c r="C1360" t="s">
        <v>1253</v>
      </c>
      <c r="D1360" s="113">
        <v>0</v>
      </c>
    </row>
    <row r="1361" spans="1:4">
      <c r="A1361" s="107">
        <v>1</v>
      </c>
      <c r="B1361" s="1324"/>
      <c r="C1361" t="s">
        <v>421</v>
      </c>
      <c r="D1361" s="113">
        <v>0</v>
      </c>
    </row>
    <row r="1362" spans="1:4">
      <c r="A1362" s="107">
        <v>1</v>
      </c>
      <c r="B1362" s="1323" t="s">
        <v>944</v>
      </c>
      <c r="C1362" t="s">
        <v>444</v>
      </c>
      <c r="D1362" s="113">
        <v>1769640.7</v>
      </c>
    </row>
    <row r="1363" spans="1:4">
      <c r="A1363" s="107">
        <v>1</v>
      </c>
      <c r="B1363" s="1324"/>
      <c r="C1363" t="s">
        <v>445</v>
      </c>
      <c r="D1363" s="113">
        <v>112975.8</v>
      </c>
    </row>
    <row r="1364" spans="1:4">
      <c r="A1364" s="107">
        <v>1</v>
      </c>
      <c r="B1364" s="1324"/>
      <c r="C1364" t="s">
        <v>446</v>
      </c>
      <c r="D1364" s="113">
        <v>218280.4</v>
      </c>
    </row>
    <row r="1365" spans="1:4">
      <c r="A1365" s="107">
        <v>1</v>
      </c>
      <c r="B1365" s="1324"/>
      <c r="C1365" t="s">
        <v>1253</v>
      </c>
      <c r="D1365" s="113">
        <v>0</v>
      </c>
    </row>
    <row r="1366" spans="1:4" ht="12.75" customHeight="1">
      <c r="A1366" s="107">
        <v>1</v>
      </c>
      <c r="B1366" s="1324"/>
      <c r="C1366" t="s">
        <v>421</v>
      </c>
      <c r="D1366" s="113">
        <v>24345.200000000001</v>
      </c>
    </row>
    <row r="1367" spans="1:4" ht="12.75" customHeight="1">
      <c r="A1367" s="107">
        <v>1</v>
      </c>
      <c r="B1367" s="1323" t="s">
        <v>945</v>
      </c>
      <c r="C1367" t="s">
        <v>444</v>
      </c>
      <c r="D1367" s="113">
        <v>2063989.5</v>
      </c>
    </row>
    <row r="1368" spans="1:4">
      <c r="A1368" s="107">
        <v>1</v>
      </c>
      <c r="B1368" s="1324"/>
      <c r="C1368" t="s">
        <v>445</v>
      </c>
      <c r="D1368" s="113">
        <v>992257.2</v>
      </c>
    </row>
    <row r="1369" spans="1:4">
      <c r="A1369" s="107">
        <v>1</v>
      </c>
      <c r="B1369" s="1324"/>
      <c r="C1369" t="s">
        <v>446</v>
      </c>
      <c r="D1369" s="113">
        <v>118816.9</v>
      </c>
    </row>
    <row r="1370" spans="1:4">
      <c r="A1370" s="107">
        <v>1</v>
      </c>
      <c r="B1370" s="1324"/>
      <c r="C1370" t="s">
        <v>1253</v>
      </c>
      <c r="D1370" s="113">
        <v>0</v>
      </c>
    </row>
    <row r="1371" spans="1:4">
      <c r="A1371" s="107">
        <v>1</v>
      </c>
      <c r="B1371" s="1324"/>
      <c r="C1371" t="s">
        <v>421</v>
      </c>
      <c r="D1371" s="113">
        <v>0</v>
      </c>
    </row>
    <row r="1372" spans="1:4">
      <c r="A1372" s="107">
        <v>6</v>
      </c>
      <c r="B1372" s="1323" t="s">
        <v>946</v>
      </c>
      <c r="C1372" t="s">
        <v>444</v>
      </c>
      <c r="D1372" s="113">
        <v>2270881.1</v>
      </c>
    </row>
    <row r="1373" spans="1:4">
      <c r="A1373" s="107">
        <v>6</v>
      </c>
      <c r="B1373" s="1324"/>
      <c r="C1373" t="s">
        <v>445</v>
      </c>
      <c r="D1373" s="113">
        <v>762525</v>
      </c>
    </row>
    <row r="1374" spans="1:4">
      <c r="A1374" s="107">
        <v>6</v>
      </c>
      <c r="B1374" s="1324"/>
      <c r="C1374" t="s">
        <v>446</v>
      </c>
      <c r="D1374" s="113">
        <v>52185.4</v>
      </c>
    </row>
    <row r="1375" spans="1:4">
      <c r="A1375" s="107">
        <v>6</v>
      </c>
      <c r="B1375" s="1324"/>
      <c r="C1375" t="s">
        <v>1253</v>
      </c>
      <c r="D1375" s="113">
        <v>0</v>
      </c>
    </row>
    <row r="1376" spans="1:4">
      <c r="A1376" s="107">
        <v>6</v>
      </c>
      <c r="B1376" s="1324"/>
      <c r="C1376" t="s">
        <v>421</v>
      </c>
      <c r="D1376" s="113">
        <v>0</v>
      </c>
    </row>
    <row r="1377" spans="1:4">
      <c r="A1377" s="107">
        <v>1</v>
      </c>
      <c r="B1377" s="1323" t="s">
        <v>947</v>
      </c>
      <c r="C1377" t="s">
        <v>444</v>
      </c>
      <c r="D1377" s="113">
        <v>225961.7</v>
      </c>
    </row>
    <row r="1378" spans="1:4">
      <c r="A1378" s="107">
        <v>1</v>
      </c>
      <c r="B1378" s="1324"/>
      <c r="C1378" t="s">
        <v>445</v>
      </c>
      <c r="D1378" s="113">
        <v>0</v>
      </c>
    </row>
    <row r="1379" spans="1:4">
      <c r="A1379" s="107">
        <v>1</v>
      </c>
      <c r="B1379" s="1324"/>
      <c r="C1379" t="s">
        <v>446</v>
      </c>
      <c r="D1379" s="113">
        <v>300766.09999999998</v>
      </c>
    </row>
    <row r="1380" spans="1:4">
      <c r="A1380" s="107">
        <v>1</v>
      </c>
      <c r="B1380" s="1324"/>
      <c r="C1380" t="s">
        <v>1253</v>
      </c>
      <c r="D1380" s="113">
        <v>0</v>
      </c>
    </row>
    <row r="1381" spans="1:4">
      <c r="A1381" s="107">
        <v>1</v>
      </c>
      <c r="B1381" s="1324"/>
      <c r="C1381" t="s">
        <v>421</v>
      </c>
      <c r="D1381" s="113">
        <v>0</v>
      </c>
    </row>
    <row r="1382" spans="1:4" ht="12.75" customHeight="1">
      <c r="A1382" s="107">
        <v>9</v>
      </c>
      <c r="B1382" s="1323" t="s">
        <v>949</v>
      </c>
      <c r="C1382" t="s">
        <v>444</v>
      </c>
      <c r="D1382" s="113">
        <v>85311.6</v>
      </c>
    </row>
    <row r="1383" spans="1:4">
      <c r="A1383" s="107">
        <v>9</v>
      </c>
      <c r="B1383" s="1324"/>
      <c r="C1383" t="s">
        <v>445</v>
      </c>
      <c r="D1383" s="113">
        <v>0</v>
      </c>
    </row>
    <row r="1384" spans="1:4">
      <c r="A1384" s="107">
        <v>9</v>
      </c>
      <c r="B1384" s="1324"/>
      <c r="C1384" t="s">
        <v>446</v>
      </c>
      <c r="D1384" s="113">
        <v>120295.5</v>
      </c>
    </row>
    <row r="1385" spans="1:4">
      <c r="A1385" s="107">
        <v>9</v>
      </c>
      <c r="B1385" s="1324"/>
      <c r="C1385" t="s">
        <v>1253</v>
      </c>
      <c r="D1385" s="113">
        <v>0</v>
      </c>
    </row>
    <row r="1386" spans="1:4" ht="12.75" customHeight="1">
      <c r="A1386" s="107">
        <v>9</v>
      </c>
      <c r="B1386" s="1324"/>
      <c r="C1386" t="s">
        <v>421</v>
      </c>
      <c r="D1386" s="113">
        <v>0</v>
      </c>
    </row>
    <row r="1387" spans="1:4" ht="12.75" customHeight="1">
      <c r="A1387" s="107">
        <v>2</v>
      </c>
      <c r="B1387" s="1323" t="s">
        <v>950</v>
      </c>
      <c r="C1387" t="s">
        <v>444</v>
      </c>
      <c r="D1387" s="113">
        <v>159375.1</v>
      </c>
    </row>
    <row r="1388" spans="1:4">
      <c r="A1388" s="107">
        <v>2</v>
      </c>
      <c r="B1388" s="1324"/>
      <c r="C1388" t="s">
        <v>445</v>
      </c>
      <c r="D1388" s="113">
        <v>0</v>
      </c>
    </row>
    <row r="1389" spans="1:4">
      <c r="A1389" s="107">
        <v>2</v>
      </c>
      <c r="B1389" s="1324"/>
      <c r="C1389" t="s">
        <v>446</v>
      </c>
      <c r="D1389" s="113">
        <v>0</v>
      </c>
    </row>
    <row r="1390" spans="1:4">
      <c r="A1390" s="107">
        <v>2</v>
      </c>
      <c r="B1390" s="1324"/>
      <c r="C1390" t="s">
        <v>1253</v>
      </c>
      <c r="D1390" s="113">
        <v>0</v>
      </c>
    </row>
    <row r="1391" spans="1:4">
      <c r="A1391" s="107">
        <v>2</v>
      </c>
      <c r="B1391" s="1325"/>
      <c r="C1391" t="s">
        <v>421</v>
      </c>
      <c r="D1391" s="113">
        <v>0</v>
      </c>
    </row>
    <row r="1392" spans="1:4">
      <c r="A1392" s="107">
        <v>2</v>
      </c>
      <c r="B1392" s="1323" t="s">
        <v>951</v>
      </c>
      <c r="C1392" t="s">
        <v>444</v>
      </c>
      <c r="D1392" s="113">
        <v>0</v>
      </c>
    </row>
    <row r="1393" spans="1:4">
      <c r="A1393" s="107">
        <v>2</v>
      </c>
      <c r="B1393" s="1324"/>
      <c r="C1393" t="s">
        <v>445</v>
      </c>
      <c r="D1393" s="113">
        <v>0</v>
      </c>
    </row>
    <row r="1394" spans="1:4">
      <c r="A1394" s="107">
        <v>2</v>
      </c>
      <c r="B1394" s="1324"/>
      <c r="C1394" t="s">
        <v>446</v>
      </c>
      <c r="D1394" s="113">
        <v>5253.9</v>
      </c>
    </row>
    <row r="1395" spans="1:4">
      <c r="A1395" s="107">
        <v>2</v>
      </c>
      <c r="B1395" s="1324"/>
      <c r="C1395" t="s">
        <v>1253</v>
      </c>
      <c r="D1395" s="113">
        <v>0</v>
      </c>
    </row>
    <row r="1396" spans="1:4">
      <c r="A1396" s="107">
        <v>2</v>
      </c>
      <c r="B1396" s="1324"/>
      <c r="C1396" t="s">
        <v>421</v>
      </c>
      <c r="D1396" s="113">
        <v>0</v>
      </c>
    </row>
    <row r="1397" spans="1:4">
      <c r="A1397" s="107">
        <v>4</v>
      </c>
      <c r="B1397" s="1323" t="s">
        <v>952</v>
      </c>
      <c r="C1397" t="s">
        <v>444</v>
      </c>
      <c r="D1397" s="113">
        <v>738683.2</v>
      </c>
    </row>
    <row r="1398" spans="1:4">
      <c r="A1398" s="107">
        <v>4</v>
      </c>
      <c r="B1398" s="1324"/>
      <c r="C1398" t="s">
        <v>445</v>
      </c>
      <c r="D1398" s="113">
        <v>0</v>
      </c>
    </row>
    <row r="1399" spans="1:4">
      <c r="A1399" s="107">
        <v>4</v>
      </c>
      <c r="B1399" s="1324"/>
      <c r="C1399" t="s">
        <v>446</v>
      </c>
      <c r="D1399" s="113">
        <v>58925.8</v>
      </c>
    </row>
    <row r="1400" spans="1:4">
      <c r="A1400" s="107">
        <v>4</v>
      </c>
      <c r="B1400" s="1324"/>
      <c r="C1400" t="s">
        <v>1253</v>
      </c>
      <c r="D1400" s="113">
        <v>0</v>
      </c>
    </row>
    <row r="1401" spans="1:4" ht="12.75" customHeight="1">
      <c r="A1401" s="107">
        <v>4</v>
      </c>
      <c r="B1401" s="1325"/>
      <c r="C1401" t="s">
        <v>421</v>
      </c>
      <c r="D1401" s="113">
        <v>0</v>
      </c>
    </row>
    <row r="1402" spans="1:4" ht="12.75" customHeight="1">
      <c r="A1402" s="107">
        <v>1</v>
      </c>
      <c r="B1402" s="1323" t="s">
        <v>953</v>
      </c>
      <c r="C1402" t="s">
        <v>444</v>
      </c>
      <c r="D1402" s="113">
        <v>117813.6</v>
      </c>
    </row>
    <row r="1403" spans="1:4">
      <c r="A1403" s="107">
        <v>8</v>
      </c>
      <c r="B1403" s="1324"/>
      <c r="C1403" t="s">
        <v>445</v>
      </c>
      <c r="D1403" s="113">
        <v>0</v>
      </c>
    </row>
    <row r="1404" spans="1:4">
      <c r="A1404" s="107">
        <v>8</v>
      </c>
      <c r="B1404" s="1324"/>
      <c r="C1404" t="s">
        <v>446</v>
      </c>
      <c r="D1404" s="113">
        <v>33591.199999999997</v>
      </c>
    </row>
    <row r="1405" spans="1:4">
      <c r="A1405" s="107">
        <v>8</v>
      </c>
      <c r="B1405" s="1324"/>
      <c r="C1405" t="s">
        <v>1253</v>
      </c>
      <c r="D1405" s="113">
        <v>0</v>
      </c>
    </row>
    <row r="1406" spans="1:4" ht="12.75" customHeight="1">
      <c r="A1406" s="107">
        <v>8</v>
      </c>
      <c r="B1406" s="1324"/>
      <c r="C1406" t="s">
        <v>421</v>
      </c>
      <c r="D1406" s="113">
        <v>0</v>
      </c>
    </row>
    <row r="1407" spans="1:4">
      <c r="A1407" s="107">
        <v>2</v>
      </c>
      <c r="B1407" s="1323" t="s">
        <v>955</v>
      </c>
      <c r="C1407" t="s">
        <v>444</v>
      </c>
      <c r="D1407" s="113">
        <v>0</v>
      </c>
    </row>
    <row r="1408" spans="1:4">
      <c r="A1408" s="107">
        <v>2</v>
      </c>
      <c r="B1408" s="1324"/>
      <c r="C1408" t="s">
        <v>445</v>
      </c>
      <c r="D1408" s="113">
        <v>0</v>
      </c>
    </row>
    <row r="1409" spans="1:4">
      <c r="A1409" s="107">
        <v>2</v>
      </c>
      <c r="B1409" s="1324"/>
      <c r="C1409" t="s">
        <v>446</v>
      </c>
      <c r="D1409" s="113">
        <v>36381.800000000003</v>
      </c>
    </row>
    <row r="1410" spans="1:4">
      <c r="A1410" s="107">
        <v>2</v>
      </c>
      <c r="B1410" s="1324"/>
      <c r="C1410" t="s">
        <v>1253</v>
      </c>
      <c r="D1410" s="113">
        <v>0</v>
      </c>
    </row>
    <row r="1411" spans="1:4">
      <c r="A1411" s="107">
        <v>2</v>
      </c>
      <c r="B1411" s="1324"/>
      <c r="C1411" t="s">
        <v>421</v>
      </c>
      <c r="D1411" s="113">
        <v>0</v>
      </c>
    </row>
    <row r="1412" spans="1:4">
      <c r="A1412" s="107">
        <v>1</v>
      </c>
      <c r="B1412" s="1323" t="s">
        <v>956</v>
      </c>
      <c r="C1412" t="s">
        <v>444</v>
      </c>
      <c r="D1412" s="113">
        <v>108370.7</v>
      </c>
    </row>
    <row r="1413" spans="1:4">
      <c r="A1413" s="107">
        <v>1</v>
      </c>
      <c r="B1413" s="1324"/>
      <c r="C1413" t="s">
        <v>445</v>
      </c>
      <c r="D1413" s="113">
        <v>0</v>
      </c>
    </row>
    <row r="1414" spans="1:4">
      <c r="A1414" s="107">
        <v>1</v>
      </c>
      <c r="B1414" s="1324"/>
      <c r="C1414" t="s">
        <v>446</v>
      </c>
      <c r="D1414" s="113">
        <v>5724.3</v>
      </c>
    </row>
    <row r="1415" spans="1:4">
      <c r="A1415" s="107">
        <v>1</v>
      </c>
      <c r="B1415" s="1324"/>
      <c r="C1415" t="s">
        <v>1253</v>
      </c>
      <c r="D1415" s="113">
        <v>58287.9</v>
      </c>
    </row>
    <row r="1416" spans="1:4" ht="12.75" customHeight="1">
      <c r="A1416" s="107">
        <v>1</v>
      </c>
      <c r="B1416" s="1324"/>
      <c r="C1416" t="s">
        <v>421</v>
      </c>
      <c r="D1416" s="113">
        <v>0</v>
      </c>
    </row>
    <row r="1417" spans="1:4" ht="12.75" customHeight="1">
      <c r="A1417" s="107">
        <v>1</v>
      </c>
      <c r="B1417" s="1323" t="s">
        <v>957</v>
      </c>
      <c r="C1417" t="s">
        <v>444</v>
      </c>
      <c r="D1417" s="113">
        <v>0</v>
      </c>
    </row>
    <row r="1418" spans="1:4">
      <c r="A1418" s="107">
        <v>1</v>
      </c>
      <c r="B1418" s="1324"/>
      <c r="C1418" t="s">
        <v>445</v>
      </c>
      <c r="D1418" s="113">
        <v>0</v>
      </c>
    </row>
    <row r="1419" spans="1:4">
      <c r="A1419" s="107">
        <v>1</v>
      </c>
      <c r="B1419" s="1324"/>
      <c r="C1419" t="s">
        <v>446</v>
      </c>
      <c r="D1419" s="113">
        <v>16441.5</v>
      </c>
    </row>
    <row r="1420" spans="1:4">
      <c r="A1420" s="107">
        <v>1</v>
      </c>
      <c r="B1420" s="1324"/>
      <c r="C1420" t="s">
        <v>1253</v>
      </c>
      <c r="D1420" s="113">
        <v>0</v>
      </c>
    </row>
    <row r="1421" spans="1:4">
      <c r="A1421" s="107">
        <v>1</v>
      </c>
      <c r="B1421" s="1324"/>
      <c r="C1421" t="s">
        <v>421</v>
      </c>
      <c r="D1421" s="113">
        <v>0</v>
      </c>
    </row>
    <row r="1422" spans="1:4">
      <c r="A1422" s="107">
        <v>16</v>
      </c>
      <c r="B1422" s="1323" t="s">
        <v>958</v>
      </c>
      <c r="C1422" t="s">
        <v>444</v>
      </c>
      <c r="D1422" s="113">
        <v>0</v>
      </c>
    </row>
    <row r="1423" spans="1:4">
      <c r="A1423" s="107">
        <v>16</v>
      </c>
      <c r="B1423" s="1324"/>
      <c r="C1423" t="s">
        <v>445</v>
      </c>
      <c r="D1423" s="113">
        <v>0</v>
      </c>
    </row>
    <row r="1424" spans="1:4">
      <c r="A1424" s="107">
        <v>16</v>
      </c>
      <c r="B1424" s="1324"/>
      <c r="C1424" t="s">
        <v>446</v>
      </c>
      <c r="D1424" s="113">
        <v>4721.2</v>
      </c>
    </row>
    <row r="1425" spans="1:4">
      <c r="A1425" s="107">
        <v>16</v>
      </c>
      <c r="B1425" s="1324"/>
      <c r="C1425" t="s">
        <v>1253</v>
      </c>
      <c r="D1425" s="113">
        <v>0</v>
      </c>
    </row>
    <row r="1426" spans="1:4">
      <c r="A1426" s="107">
        <v>16</v>
      </c>
      <c r="B1426" s="1324"/>
      <c r="C1426" t="s">
        <v>421</v>
      </c>
      <c r="D1426" s="113">
        <v>0</v>
      </c>
    </row>
    <row r="1427" spans="1:4">
      <c r="A1427" s="107">
        <v>2</v>
      </c>
      <c r="B1427" s="1323" t="s">
        <v>959</v>
      </c>
      <c r="C1427" t="s">
        <v>444</v>
      </c>
      <c r="D1427" s="113">
        <v>77496.399999999994</v>
      </c>
    </row>
    <row r="1428" spans="1:4">
      <c r="A1428" s="107">
        <v>2</v>
      </c>
      <c r="B1428" s="1324"/>
      <c r="C1428" t="s">
        <v>445</v>
      </c>
      <c r="D1428" s="113">
        <v>0</v>
      </c>
    </row>
    <row r="1429" spans="1:4">
      <c r="A1429" s="107">
        <v>2</v>
      </c>
      <c r="B1429" s="1324"/>
      <c r="C1429" t="s">
        <v>446</v>
      </c>
      <c r="D1429" s="113">
        <v>6289</v>
      </c>
    </row>
    <row r="1430" spans="1:4">
      <c r="A1430" s="107">
        <v>2</v>
      </c>
      <c r="B1430" s="1324"/>
      <c r="C1430" t="s">
        <v>1253</v>
      </c>
      <c r="D1430" s="113">
        <v>0</v>
      </c>
    </row>
    <row r="1431" spans="1:4">
      <c r="A1431" s="107">
        <v>2</v>
      </c>
      <c r="B1431" s="1324"/>
      <c r="C1431" t="s">
        <v>421</v>
      </c>
      <c r="D1431" s="113">
        <v>0</v>
      </c>
    </row>
    <row r="1432" spans="1:4">
      <c r="A1432" s="107">
        <v>2</v>
      </c>
      <c r="B1432" s="1323" t="s">
        <v>960</v>
      </c>
      <c r="C1432" t="s">
        <v>444</v>
      </c>
      <c r="D1432" s="113">
        <v>122613.7</v>
      </c>
    </row>
    <row r="1433" spans="1:4">
      <c r="A1433" s="107">
        <v>2</v>
      </c>
      <c r="B1433" s="1324"/>
      <c r="C1433" t="s">
        <v>445</v>
      </c>
      <c r="D1433" s="113">
        <v>0</v>
      </c>
    </row>
    <row r="1434" spans="1:4">
      <c r="A1434" s="107">
        <v>2</v>
      </c>
      <c r="B1434" s="1324"/>
      <c r="C1434" t="s">
        <v>446</v>
      </c>
      <c r="D1434" s="113">
        <v>4443.5</v>
      </c>
    </row>
    <row r="1435" spans="1:4">
      <c r="A1435" s="107">
        <v>2</v>
      </c>
      <c r="B1435" s="1324"/>
      <c r="C1435" t="s">
        <v>1253</v>
      </c>
      <c r="D1435" s="113">
        <v>0</v>
      </c>
    </row>
    <row r="1436" spans="1:4">
      <c r="A1436" s="107">
        <v>2</v>
      </c>
      <c r="B1436" s="1324"/>
      <c r="C1436" t="s">
        <v>421</v>
      </c>
      <c r="D1436" s="113">
        <v>0</v>
      </c>
    </row>
    <row r="1437" spans="1:4">
      <c r="A1437" s="107">
        <v>2</v>
      </c>
      <c r="B1437" s="1323" t="s">
        <v>961</v>
      </c>
      <c r="C1437" t="s">
        <v>444</v>
      </c>
      <c r="D1437" s="113">
        <v>0</v>
      </c>
    </row>
    <row r="1438" spans="1:4">
      <c r="A1438" s="107">
        <v>2</v>
      </c>
      <c r="B1438" s="1324"/>
      <c r="C1438" t="s">
        <v>445</v>
      </c>
      <c r="D1438" s="113">
        <v>0</v>
      </c>
    </row>
    <row r="1439" spans="1:4">
      <c r="A1439" s="107">
        <v>2</v>
      </c>
      <c r="B1439" s="1324"/>
      <c r="C1439" t="s">
        <v>446</v>
      </c>
      <c r="D1439" s="113">
        <v>13788</v>
      </c>
    </row>
    <row r="1440" spans="1:4">
      <c r="A1440" s="107">
        <v>2</v>
      </c>
      <c r="B1440" s="1324"/>
      <c r="C1440" t="s">
        <v>1253</v>
      </c>
      <c r="D1440" s="113">
        <v>0</v>
      </c>
    </row>
    <row r="1441" spans="1:4">
      <c r="A1441" s="107">
        <v>2</v>
      </c>
      <c r="B1441" s="1324"/>
      <c r="C1441" t="s">
        <v>421</v>
      </c>
      <c r="D1441" s="113">
        <v>0</v>
      </c>
    </row>
    <row r="1442" spans="1:4">
      <c r="A1442" s="107">
        <v>2</v>
      </c>
      <c r="B1442" s="1323" t="s">
        <v>962</v>
      </c>
      <c r="C1442" t="s">
        <v>444</v>
      </c>
      <c r="D1442" s="113">
        <v>0</v>
      </c>
    </row>
    <row r="1443" spans="1:4">
      <c r="A1443" s="107">
        <v>2</v>
      </c>
      <c r="B1443" s="1324"/>
      <c r="C1443" t="s">
        <v>445</v>
      </c>
      <c r="D1443" s="113">
        <v>0</v>
      </c>
    </row>
    <row r="1444" spans="1:4">
      <c r="A1444" s="107">
        <v>2</v>
      </c>
      <c r="B1444" s="1324"/>
      <c r="C1444" t="s">
        <v>446</v>
      </c>
      <c r="D1444" s="113">
        <v>14547.7</v>
      </c>
    </row>
    <row r="1445" spans="1:4">
      <c r="A1445" s="107">
        <v>2</v>
      </c>
      <c r="B1445" s="1324"/>
      <c r="C1445" t="s">
        <v>1253</v>
      </c>
      <c r="D1445" s="113">
        <v>0</v>
      </c>
    </row>
    <row r="1446" spans="1:4" ht="12.75" customHeight="1">
      <c r="A1446" s="107">
        <v>2</v>
      </c>
      <c r="B1446" s="1324"/>
      <c r="C1446" t="s">
        <v>421</v>
      </c>
      <c r="D1446" s="113">
        <v>0</v>
      </c>
    </row>
    <row r="1447" spans="1:4" ht="12.75" customHeight="1">
      <c r="A1447" s="107">
        <v>10</v>
      </c>
      <c r="B1447" s="1323" t="s">
        <v>963</v>
      </c>
      <c r="C1447" t="s">
        <v>444</v>
      </c>
      <c r="D1447" s="113">
        <v>14705.8</v>
      </c>
    </row>
    <row r="1448" spans="1:4">
      <c r="A1448" s="107">
        <v>10</v>
      </c>
      <c r="B1448" s="1324"/>
      <c r="C1448" t="s">
        <v>445</v>
      </c>
      <c r="D1448" s="113">
        <v>117462.1</v>
      </c>
    </row>
    <row r="1449" spans="1:4">
      <c r="A1449" s="107">
        <v>10</v>
      </c>
      <c r="B1449" s="1324"/>
      <c r="C1449" t="s">
        <v>446</v>
      </c>
      <c r="D1449" s="113">
        <v>124448.7</v>
      </c>
    </row>
    <row r="1450" spans="1:4">
      <c r="A1450" s="107">
        <v>10</v>
      </c>
      <c r="B1450" s="1324"/>
      <c r="C1450" t="s">
        <v>1253</v>
      </c>
      <c r="D1450" s="113">
        <v>0</v>
      </c>
    </row>
    <row r="1451" spans="1:4" ht="12.75" customHeight="1">
      <c r="A1451" s="107">
        <v>10</v>
      </c>
      <c r="B1451" s="1324"/>
      <c r="C1451" t="s">
        <v>421</v>
      </c>
      <c r="D1451" s="113">
        <v>0</v>
      </c>
    </row>
    <row r="1452" spans="1:4" ht="12.75" customHeight="1">
      <c r="A1452" s="107">
        <v>2</v>
      </c>
      <c r="B1452" s="1323" t="s">
        <v>964</v>
      </c>
      <c r="C1452" t="s">
        <v>444</v>
      </c>
      <c r="D1452" s="113">
        <v>0</v>
      </c>
    </row>
    <row r="1453" spans="1:4">
      <c r="A1453" s="107">
        <v>2</v>
      </c>
      <c r="B1453" s="1324"/>
      <c r="C1453" t="s">
        <v>445</v>
      </c>
      <c r="D1453" s="113">
        <v>0</v>
      </c>
    </row>
    <row r="1454" spans="1:4">
      <c r="A1454" s="107">
        <v>2</v>
      </c>
      <c r="B1454" s="1324"/>
      <c r="C1454" t="s">
        <v>446</v>
      </c>
      <c r="D1454" s="113">
        <v>155901</v>
      </c>
    </row>
    <row r="1455" spans="1:4">
      <c r="A1455" s="107">
        <v>2</v>
      </c>
      <c r="B1455" s="1324"/>
      <c r="C1455" t="s">
        <v>1253</v>
      </c>
      <c r="D1455" s="113">
        <v>0</v>
      </c>
    </row>
    <row r="1456" spans="1:4" ht="12.75" customHeight="1">
      <c r="A1456" s="107">
        <v>2</v>
      </c>
      <c r="B1456" s="1324"/>
      <c r="C1456" t="s">
        <v>421</v>
      </c>
      <c r="D1456" s="113">
        <v>0</v>
      </c>
    </row>
    <row r="1457" spans="1:4" ht="12.75" customHeight="1">
      <c r="A1457" s="107">
        <v>2</v>
      </c>
      <c r="B1457" s="1324" t="s">
        <v>1548</v>
      </c>
      <c r="C1457" t="s">
        <v>444</v>
      </c>
      <c r="D1457" s="113">
        <v>0</v>
      </c>
    </row>
    <row r="1458" spans="1:4">
      <c r="A1458" s="107">
        <v>2</v>
      </c>
      <c r="B1458" s="1324"/>
      <c r="C1458" t="s">
        <v>445</v>
      </c>
      <c r="D1458" s="113">
        <v>0</v>
      </c>
    </row>
    <row r="1459" spans="1:4">
      <c r="A1459" s="107">
        <v>2</v>
      </c>
      <c r="B1459" s="1324"/>
      <c r="C1459" t="s">
        <v>446</v>
      </c>
      <c r="D1459" s="113">
        <v>11466.4</v>
      </c>
    </row>
    <row r="1460" spans="1:4">
      <c r="A1460" s="107">
        <v>2</v>
      </c>
      <c r="B1460" s="1324"/>
      <c r="C1460" t="s">
        <v>1253</v>
      </c>
      <c r="D1460" s="113">
        <v>0</v>
      </c>
    </row>
    <row r="1461" spans="1:4" ht="12.75" customHeight="1">
      <c r="A1461" s="107">
        <v>2</v>
      </c>
      <c r="B1461" s="1325"/>
      <c r="C1461" t="s">
        <v>421</v>
      </c>
      <c r="D1461" s="113">
        <v>0</v>
      </c>
    </row>
    <row r="1462" spans="1:4" ht="12.75" customHeight="1">
      <c r="A1462" s="107">
        <v>2</v>
      </c>
      <c r="B1462" s="1323" t="s">
        <v>965</v>
      </c>
      <c r="C1462" t="s">
        <v>444</v>
      </c>
      <c r="D1462" s="113">
        <v>0</v>
      </c>
    </row>
    <row r="1463" spans="1:4">
      <c r="A1463" s="107">
        <v>2</v>
      </c>
      <c r="B1463" s="1324"/>
      <c r="C1463" t="s">
        <v>445</v>
      </c>
      <c r="D1463" s="113">
        <v>0</v>
      </c>
    </row>
    <row r="1464" spans="1:4">
      <c r="A1464" s="107">
        <v>2</v>
      </c>
      <c r="B1464" s="1324"/>
      <c r="C1464" t="s">
        <v>446</v>
      </c>
      <c r="D1464" s="113">
        <v>12553.6</v>
      </c>
    </row>
    <row r="1465" spans="1:4">
      <c r="A1465" s="107">
        <v>2</v>
      </c>
      <c r="B1465" s="1324"/>
      <c r="C1465" t="s">
        <v>1253</v>
      </c>
      <c r="D1465" s="113">
        <v>0</v>
      </c>
    </row>
    <row r="1466" spans="1:4" ht="12.75" customHeight="1">
      <c r="A1466" s="107">
        <v>2</v>
      </c>
      <c r="B1466" s="1324"/>
      <c r="C1466" t="s">
        <v>421</v>
      </c>
      <c r="D1466" s="113">
        <v>0</v>
      </c>
    </row>
    <row r="1467" spans="1:4" ht="12.75" customHeight="1">
      <c r="A1467" s="107">
        <v>2</v>
      </c>
      <c r="B1467" s="1323" t="s">
        <v>966</v>
      </c>
      <c r="C1467" t="s">
        <v>444</v>
      </c>
      <c r="D1467" s="113">
        <v>0</v>
      </c>
    </row>
    <row r="1468" spans="1:4">
      <c r="A1468" s="107">
        <v>2</v>
      </c>
      <c r="B1468" s="1324"/>
      <c r="C1468" t="s">
        <v>445</v>
      </c>
      <c r="D1468" s="113">
        <v>0</v>
      </c>
    </row>
    <row r="1469" spans="1:4">
      <c r="A1469" s="107">
        <v>2</v>
      </c>
      <c r="B1469" s="1324"/>
      <c r="C1469" t="s">
        <v>446</v>
      </c>
      <c r="D1469" s="113">
        <v>158032.5</v>
      </c>
    </row>
    <row r="1470" spans="1:4">
      <c r="A1470" s="107">
        <v>2</v>
      </c>
      <c r="B1470" s="1324"/>
      <c r="C1470" t="s">
        <v>1253</v>
      </c>
      <c r="D1470" s="113">
        <v>0</v>
      </c>
    </row>
    <row r="1471" spans="1:4" ht="12.75" customHeight="1">
      <c r="A1471" s="107">
        <v>2</v>
      </c>
      <c r="B1471" s="1324"/>
      <c r="C1471" t="s">
        <v>421</v>
      </c>
      <c r="D1471" s="113">
        <v>0</v>
      </c>
    </row>
    <row r="1472" spans="1:4" ht="12.75" customHeight="1">
      <c r="A1472" s="107">
        <v>2</v>
      </c>
      <c r="B1472" s="1324" t="s">
        <v>2141</v>
      </c>
      <c r="C1472" t="s">
        <v>444</v>
      </c>
      <c r="D1472" s="113">
        <v>0</v>
      </c>
    </row>
    <row r="1473" spans="1:4" ht="12.75" customHeight="1">
      <c r="A1473" s="107">
        <v>2</v>
      </c>
      <c r="B1473" s="1324"/>
      <c r="C1473" t="s">
        <v>445</v>
      </c>
      <c r="D1473" s="113">
        <v>0</v>
      </c>
    </row>
    <row r="1474" spans="1:4" ht="12.75" customHeight="1">
      <c r="A1474" s="107">
        <v>2</v>
      </c>
      <c r="B1474" s="1324"/>
      <c r="C1474" t="s">
        <v>446</v>
      </c>
      <c r="D1474" s="113">
        <v>9388.1</v>
      </c>
    </row>
    <row r="1475" spans="1:4" ht="12.75" customHeight="1">
      <c r="A1475" s="107">
        <v>2</v>
      </c>
      <c r="B1475" s="1324"/>
      <c r="C1475" t="s">
        <v>1253</v>
      </c>
      <c r="D1475" s="113">
        <v>0</v>
      </c>
    </row>
    <row r="1476" spans="1:4" ht="12.75" customHeight="1">
      <c r="A1476" s="107">
        <v>2</v>
      </c>
      <c r="B1476" s="1324"/>
      <c r="C1476" t="s">
        <v>421</v>
      </c>
      <c r="D1476" s="113">
        <v>0</v>
      </c>
    </row>
    <row r="1477" spans="1:4" ht="12.75" customHeight="1">
      <c r="A1477" s="107">
        <v>1</v>
      </c>
      <c r="B1477" s="1324" t="s">
        <v>2142</v>
      </c>
      <c r="C1477" t="s">
        <v>444</v>
      </c>
      <c r="D1477" s="113">
        <v>703544.5</v>
      </c>
    </row>
    <row r="1478" spans="1:4" ht="12.75" customHeight="1">
      <c r="A1478" s="107">
        <v>1</v>
      </c>
      <c r="B1478" s="1324"/>
      <c r="C1478" t="s">
        <v>445</v>
      </c>
      <c r="D1478" s="113">
        <v>0</v>
      </c>
    </row>
    <row r="1479" spans="1:4" ht="12.75" customHeight="1">
      <c r="A1479" s="107">
        <v>1</v>
      </c>
      <c r="B1479" s="1324"/>
      <c r="C1479" t="s">
        <v>446</v>
      </c>
      <c r="D1479" s="113">
        <v>62076</v>
      </c>
    </row>
    <row r="1480" spans="1:4" ht="12.75" customHeight="1">
      <c r="A1480" s="107">
        <v>1</v>
      </c>
      <c r="B1480" s="1324"/>
      <c r="C1480" t="s">
        <v>1253</v>
      </c>
      <c r="D1480" s="113">
        <v>0</v>
      </c>
    </row>
    <row r="1481" spans="1:4" ht="12.75" customHeight="1">
      <c r="A1481" s="107">
        <v>1</v>
      </c>
      <c r="B1481" s="1324"/>
      <c r="C1481" t="s">
        <v>421</v>
      </c>
      <c r="D1481" s="113">
        <v>0</v>
      </c>
    </row>
    <row r="1482" spans="1:4">
      <c r="A1482" s="107">
        <v>5</v>
      </c>
      <c r="B1482" s="1324" t="s">
        <v>2143</v>
      </c>
      <c r="C1482" t="s">
        <v>444</v>
      </c>
      <c r="D1482" s="113">
        <v>269336.5</v>
      </c>
    </row>
    <row r="1483" spans="1:4">
      <c r="A1483" s="107">
        <v>5</v>
      </c>
      <c r="B1483" s="1324"/>
      <c r="C1483" t="s">
        <v>445</v>
      </c>
      <c r="D1483" s="113">
        <v>0</v>
      </c>
    </row>
    <row r="1484" spans="1:4">
      <c r="A1484" s="107">
        <v>5</v>
      </c>
      <c r="B1484" s="1324"/>
      <c r="C1484" t="s">
        <v>446</v>
      </c>
      <c r="D1484" s="113">
        <v>39461</v>
      </c>
    </row>
    <row r="1485" spans="1:4">
      <c r="A1485" s="107">
        <v>5</v>
      </c>
      <c r="B1485" s="1324"/>
      <c r="C1485" t="s">
        <v>1253</v>
      </c>
      <c r="D1485" s="113">
        <v>0</v>
      </c>
    </row>
    <row r="1486" spans="1:4">
      <c r="A1486" s="107">
        <v>5</v>
      </c>
      <c r="B1486" s="1324"/>
      <c r="C1486" t="s">
        <v>421</v>
      </c>
      <c r="D1486" s="113">
        <v>0</v>
      </c>
    </row>
    <row r="1487" spans="1:4">
      <c r="A1487" s="107">
        <v>2</v>
      </c>
      <c r="B1487" s="1324" t="s">
        <v>2144</v>
      </c>
      <c r="C1487" t="s">
        <v>444</v>
      </c>
      <c r="D1487" s="113">
        <v>0</v>
      </c>
    </row>
    <row r="1488" spans="1:4">
      <c r="A1488" s="107">
        <v>2</v>
      </c>
      <c r="B1488" s="1324"/>
      <c r="C1488" t="s">
        <v>445</v>
      </c>
      <c r="D1488" s="113">
        <v>0</v>
      </c>
    </row>
    <row r="1489" spans="1:4">
      <c r="A1489" s="107">
        <v>2</v>
      </c>
      <c r="B1489" s="1324"/>
      <c r="C1489" t="s">
        <v>446</v>
      </c>
      <c r="D1489" s="113">
        <v>14006.9</v>
      </c>
    </row>
    <row r="1490" spans="1:4">
      <c r="A1490" s="107">
        <v>2</v>
      </c>
      <c r="B1490" s="1324"/>
      <c r="C1490" t="s">
        <v>1253</v>
      </c>
      <c r="D1490" s="113">
        <v>0</v>
      </c>
    </row>
    <row r="1491" spans="1:4">
      <c r="A1491" s="107">
        <v>2</v>
      </c>
      <c r="B1491" s="1325"/>
      <c r="C1491" t="s">
        <v>421</v>
      </c>
      <c r="D1491" s="113">
        <v>0</v>
      </c>
    </row>
    <row r="1492" spans="1:4" s="645" customFormat="1">
      <c r="A1492" s="644">
        <v>2</v>
      </c>
      <c r="B1492" s="1323" t="s">
        <v>968</v>
      </c>
      <c r="C1492" s="645" t="s">
        <v>444</v>
      </c>
      <c r="D1492" s="648">
        <v>0</v>
      </c>
    </row>
    <row r="1493" spans="1:4">
      <c r="A1493" s="107">
        <v>2</v>
      </c>
      <c r="B1493" s="1324"/>
      <c r="C1493" t="s">
        <v>445</v>
      </c>
      <c r="D1493" s="648">
        <v>0</v>
      </c>
    </row>
    <row r="1494" spans="1:4">
      <c r="A1494" s="107">
        <v>2</v>
      </c>
      <c r="B1494" s="1324"/>
      <c r="C1494" t="s">
        <v>446</v>
      </c>
      <c r="D1494" s="648">
        <v>38700.699999999997</v>
      </c>
    </row>
    <row r="1495" spans="1:4">
      <c r="A1495" s="107">
        <v>2</v>
      </c>
      <c r="B1495" s="1324"/>
      <c r="C1495" t="s">
        <v>1253</v>
      </c>
      <c r="D1495" s="648">
        <v>0</v>
      </c>
    </row>
    <row r="1496" spans="1:4" ht="12.75" customHeight="1">
      <c r="A1496" s="107">
        <v>2</v>
      </c>
      <c r="B1496" s="1324"/>
      <c r="C1496" t="s">
        <v>421</v>
      </c>
      <c r="D1496" s="648">
        <v>0</v>
      </c>
    </row>
    <row r="1497" spans="1:4" ht="12.75" customHeight="1">
      <c r="A1497" s="107">
        <v>2</v>
      </c>
      <c r="B1497" s="1323" t="s">
        <v>969</v>
      </c>
      <c r="C1497" t="s">
        <v>444</v>
      </c>
      <c r="D1497" s="648">
        <v>0</v>
      </c>
    </row>
    <row r="1498" spans="1:4">
      <c r="A1498" s="107">
        <v>2</v>
      </c>
      <c r="B1498" s="1324"/>
      <c r="C1498" t="s">
        <v>445</v>
      </c>
      <c r="D1498" s="648">
        <v>0</v>
      </c>
    </row>
    <row r="1499" spans="1:4">
      <c r="A1499" s="107">
        <v>2</v>
      </c>
      <c r="B1499" s="1324"/>
      <c r="C1499" t="s">
        <v>446</v>
      </c>
      <c r="D1499" s="648">
        <v>15438</v>
      </c>
    </row>
    <row r="1500" spans="1:4">
      <c r="A1500" s="107">
        <v>2</v>
      </c>
      <c r="B1500" s="1324"/>
      <c r="C1500" t="s">
        <v>1253</v>
      </c>
      <c r="D1500" s="648">
        <v>0</v>
      </c>
    </row>
    <row r="1501" spans="1:4" ht="12.75" customHeight="1">
      <c r="A1501" s="107">
        <v>2</v>
      </c>
      <c r="B1501" s="1324"/>
      <c r="C1501" t="s">
        <v>421</v>
      </c>
      <c r="D1501" s="648">
        <v>0</v>
      </c>
    </row>
    <row r="1502" spans="1:4" ht="12.75" customHeight="1">
      <c r="A1502" s="107">
        <v>1</v>
      </c>
      <c r="B1502" s="1323" t="s">
        <v>970</v>
      </c>
      <c r="C1502" t="s">
        <v>444</v>
      </c>
      <c r="D1502" s="648">
        <v>11761.7</v>
      </c>
    </row>
    <row r="1503" spans="1:4">
      <c r="A1503" s="107">
        <v>1</v>
      </c>
      <c r="B1503" s="1324"/>
      <c r="C1503" t="s">
        <v>445</v>
      </c>
      <c r="D1503" s="648">
        <v>0</v>
      </c>
    </row>
    <row r="1504" spans="1:4">
      <c r="A1504" s="107">
        <v>1</v>
      </c>
      <c r="B1504" s="1324"/>
      <c r="C1504" t="s">
        <v>446</v>
      </c>
      <c r="D1504" s="648">
        <v>21947.3</v>
      </c>
    </row>
    <row r="1505" spans="1:4">
      <c r="A1505" s="107">
        <v>1</v>
      </c>
      <c r="B1505" s="1324"/>
      <c r="C1505" t="s">
        <v>1253</v>
      </c>
      <c r="D1505" s="648">
        <v>0</v>
      </c>
    </row>
    <row r="1506" spans="1:4" ht="12.75" customHeight="1">
      <c r="A1506" s="107">
        <v>1</v>
      </c>
      <c r="B1506" s="1324"/>
      <c r="C1506" t="s">
        <v>421</v>
      </c>
      <c r="D1506" s="648">
        <v>0</v>
      </c>
    </row>
    <row r="1507" spans="1:4" ht="12.75" customHeight="1">
      <c r="A1507" s="107">
        <v>1</v>
      </c>
      <c r="B1507" s="1323" t="s">
        <v>971</v>
      </c>
      <c r="C1507" t="s">
        <v>444</v>
      </c>
      <c r="D1507" s="648">
        <v>0</v>
      </c>
    </row>
    <row r="1508" spans="1:4">
      <c r="A1508" s="107">
        <v>1</v>
      </c>
      <c r="B1508" s="1324"/>
      <c r="C1508" t="s">
        <v>445</v>
      </c>
      <c r="D1508" s="648">
        <v>0</v>
      </c>
    </row>
    <row r="1509" spans="1:4">
      <c r="A1509" s="107">
        <v>1</v>
      </c>
      <c r="B1509" s="1324"/>
      <c r="C1509" t="s">
        <v>446</v>
      </c>
      <c r="D1509" s="648">
        <v>34172.800000000003</v>
      </c>
    </row>
    <row r="1510" spans="1:4">
      <c r="A1510" s="107">
        <v>1</v>
      </c>
      <c r="B1510" s="1324"/>
      <c r="C1510" t="s">
        <v>1253</v>
      </c>
      <c r="D1510" s="648">
        <v>0</v>
      </c>
    </row>
    <row r="1511" spans="1:4" ht="12.75" customHeight="1">
      <c r="A1511" s="107">
        <v>1</v>
      </c>
      <c r="B1511" s="1324"/>
      <c r="C1511" t="s">
        <v>421</v>
      </c>
      <c r="D1511" s="648">
        <v>0</v>
      </c>
    </row>
    <row r="1512" spans="1:4" ht="12.75" customHeight="1">
      <c r="A1512" s="107">
        <v>2</v>
      </c>
      <c r="B1512" s="1323" t="s">
        <v>972</v>
      </c>
      <c r="C1512" t="s">
        <v>444</v>
      </c>
      <c r="D1512" s="648">
        <v>0</v>
      </c>
    </row>
    <row r="1513" spans="1:4">
      <c r="A1513" s="107">
        <v>2</v>
      </c>
      <c r="B1513" s="1324"/>
      <c r="C1513" t="s">
        <v>445</v>
      </c>
      <c r="D1513" s="648">
        <v>0</v>
      </c>
    </row>
    <row r="1514" spans="1:4">
      <c r="A1514" s="107">
        <v>2</v>
      </c>
      <c r="B1514" s="1324"/>
      <c r="C1514" t="s">
        <v>446</v>
      </c>
      <c r="D1514" s="648">
        <v>33530.400000000001</v>
      </c>
    </row>
    <row r="1515" spans="1:4">
      <c r="A1515" s="107">
        <v>2</v>
      </c>
      <c r="B1515" s="1324"/>
      <c r="C1515" t="s">
        <v>1253</v>
      </c>
      <c r="D1515" s="648">
        <v>0</v>
      </c>
    </row>
    <row r="1516" spans="1:4" ht="12.75" customHeight="1">
      <c r="A1516" s="107">
        <v>2</v>
      </c>
      <c r="B1516" s="1324"/>
      <c r="C1516" t="s">
        <v>421</v>
      </c>
      <c r="D1516" s="648">
        <v>0</v>
      </c>
    </row>
    <row r="1517" spans="1:4" ht="12.75" customHeight="1">
      <c r="A1517" s="107">
        <v>2</v>
      </c>
      <c r="B1517" s="1323" t="s">
        <v>973</v>
      </c>
      <c r="C1517" t="s">
        <v>444</v>
      </c>
      <c r="D1517" s="648">
        <v>796602.2</v>
      </c>
    </row>
    <row r="1518" spans="1:4">
      <c r="A1518" s="107">
        <v>2</v>
      </c>
      <c r="B1518" s="1324"/>
      <c r="C1518" t="s">
        <v>445</v>
      </c>
      <c r="D1518" s="648">
        <v>0</v>
      </c>
    </row>
    <row r="1519" spans="1:4">
      <c r="A1519" s="107">
        <v>2</v>
      </c>
      <c r="B1519" s="1324"/>
      <c r="C1519" t="s">
        <v>446</v>
      </c>
      <c r="D1519" s="648">
        <v>50190.9</v>
      </c>
    </row>
    <row r="1520" spans="1:4">
      <c r="A1520" s="107">
        <v>2</v>
      </c>
      <c r="B1520" s="1324"/>
      <c r="C1520" t="s">
        <v>1253</v>
      </c>
      <c r="D1520" s="648">
        <v>0</v>
      </c>
    </row>
    <row r="1521" spans="1:4" ht="12.75" customHeight="1">
      <c r="A1521" s="107">
        <v>2</v>
      </c>
      <c r="B1521" s="1324"/>
      <c r="C1521" t="s">
        <v>421</v>
      </c>
      <c r="D1521" s="648">
        <v>465</v>
      </c>
    </row>
    <row r="1522" spans="1:4" ht="12.75" customHeight="1">
      <c r="A1522" s="107">
        <v>2</v>
      </c>
      <c r="B1522" s="1323" t="s">
        <v>974</v>
      </c>
      <c r="C1522" t="s">
        <v>444</v>
      </c>
      <c r="D1522" s="648">
        <v>79492.2</v>
      </c>
    </row>
    <row r="1523" spans="1:4">
      <c r="A1523" s="107">
        <v>2</v>
      </c>
      <c r="B1523" s="1324"/>
      <c r="C1523" t="s">
        <v>445</v>
      </c>
      <c r="D1523" s="648">
        <v>0</v>
      </c>
    </row>
    <row r="1524" spans="1:4">
      <c r="A1524" s="107">
        <v>2</v>
      </c>
      <c r="B1524" s="1324"/>
      <c r="C1524" t="s">
        <v>446</v>
      </c>
      <c r="D1524" s="648">
        <v>56424.2</v>
      </c>
    </row>
    <row r="1525" spans="1:4">
      <c r="A1525" s="107">
        <v>2</v>
      </c>
      <c r="B1525" s="1324"/>
      <c r="C1525" t="s">
        <v>1253</v>
      </c>
      <c r="D1525" s="648">
        <v>0</v>
      </c>
    </row>
    <row r="1526" spans="1:4" ht="12.75" customHeight="1">
      <c r="A1526" s="107">
        <v>2</v>
      </c>
      <c r="B1526" s="1324"/>
      <c r="C1526" t="s">
        <v>421</v>
      </c>
      <c r="D1526" s="648">
        <v>0</v>
      </c>
    </row>
    <row r="1527" spans="1:4" ht="12.75" customHeight="1">
      <c r="A1527" s="107">
        <v>1</v>
      </c>
      <c r="B1527" s="1323" t="s">
        <v>975</v>
      </c>
      <c r="C1527" t="s">
        <v>444</v>
      </c>
      <c r="D1527" s="648">
        <v>0</v>
      </c>
    </row>
    <row r="1528" spans="1:4">
      <c r="A1528" s="107">
        <v>1</v>
      </c>
      <c r="B1528" s="1324"/>
      <c r="C1528" t="s">
        <v>445</v>
      </c>
      <c r="D1528" s="648">
        <v>0</v>
      </c>
    </row>
    <row r="1529" spans="1:4">
      <c r="A1529" s="107">
        <v>1</v>
      </c>
      <c r="B1529" s="1324"/>
      <c r="C1529" t="s">
        <v>446</v>
      </c>
      <c r="D1529" s="648">
        <v>11829.3</v>
      </c>
    </row>
    <row r="1530" spans="1:4">
      <c r="A1530" s="107">
        <v>1</v>
      </c>
      <c r="B1530" s="1324"/>
      <c r="C1530" t="s">
        <v>1253</v>
      </c>
      <c r="D1530" s="648">
        <v>0</v>
      </c>
    </row>
    <row r="1531" spans="1:4" ht="12.75" customHeight="1">
      <c r="A1531" s="107">
        <v>1</v>
      </c>
      <c r="B1531" s="1324"/>
      <c r="C1531" t="s">
        <v>421</v>
      </c>
      <c r="D1531" s="648">
        <v>0</v>
      </c>
    </row>
    <row r="1532" spans="1:4" ht="12.75" customHeight="1">
      <c r="A1532" s="107">
        <v>4</v>
      </c>
      <c r="B1532" s="1323" t="s">
        <v>976</v>
      </c>
      <c r="C1532" t="s">
        <v>444</v>
      </c>
      <c r="D1532" s="648">
        <v>0</v>
      </c>
    </row>
    <row r="1533" spans="1:4">
      <c r="A1533" s="107">
        <v>4</v>
      </c>
      <c r="B1533" s="1324"/>
      <c r="C1533" t="s">
        <v>445</v>
      </c>
      <c r="D1533" s="648">
        <v>0</v>
      </c>
    </row>
    <row r="1534" spans="1:4">
      <c r="A1534" s="107">
        <v>4</v>
      </c>
      <c r="B1534" s="1324"/>
      <c r="C1534" t="s">
        <v>446</v>
      </c>
      <c r="D1534" s="648">
        <v>33827.300000000003</v>
      </c>
    </row>
    <row r="1535" spans="1:4">
      <c r="A1535" s="107">
        <v>4</v>
      </c>
      <c r="B1535" s="1324"/>
      <c r="C1535" t="s">
        <v>1253</v>
      </c>
      <c r="D1535" s="648">
        <v>0</v>
      </c>
    </row>
    <row r="1536" spans="1:4" ht="12.75" customHeight="1">
      <c r="A1536" s="107">
        <v>4</v>
      </c>
      <c r="B1536" s="1324"/>
      <c r="C1536" t="s">
        <v>421</v>
      </c>
      <c r="D1536" s="648">
        <v>0</v>
      </c>
    </row>
    <row r="1537" spans="1:4" ht="12.75" customHeight="1">
      <c r="A1537" s="107">
        <v>1</v>
      </c>
      <c r="B1537" s="1323" t="s">
        <v>977</v>
      </c>
      <c r="C1537" t="s">
        <v>444</v>
      </c>
      <c r="D1537" s="648">
        <v>0</v>
      </c>
    </row>
    <row r="1538" spans="1:4">
      <c r="A1538" s="107">
        <v>1</v>
      </c>
      <c r="B1538" s="1324"/>
      <c r="C1538" t="s">
        <v>445</v>
      </c>
      <c r="D1538" s="648">
        <v>0</v>
      </c>
    </row>
    <row r="1539" spans="1:4">
      <c r="A1539" s="107">
        <v>1</v>
      </c>
      <c r="B1539" s="1324"/>
      <c r="C1539" t="s">
        <v>446</v>
      </c>
      <c r="D1539" s="648">
        <v>30984.2</v>
      </c>
    </row>
    <row r="1540" spans="1:4">
      <c r="A1540" s="107">
        <v>1</v>
      </c>
      <c r="B1540" s="1324"/>
      <c r="C1540" t="s">
        <v>1253</v>
      </c>
      <c r="D1540" s="648">
        <v>0</v>
      </c>
    </row>
    <row r="1541" spans="1:4" ht="12.75" customHeight="1">
      <c r="A1541" s="107">
        <v>1</v>
      </c>
      <c r="B1541" s="1324"/>
      <c r="C1541" t="s">
        <v>421</v>
      </c>
      <c r="D1541" s="648">
        <v>0</v>
      </c>
    </row>
    <row r="1542" spans="1:4" ht="12.75" customHeight="1">
      <c r="A1542" s="107">
        <v>1</v>
      </c>
      <c r="B1542" s="1323" t="s">
        <v>978</v>
      </c>
      <c r="C1542" t="s">
        <v>444</v>
      </c>
      <c r="D1542" s="648">
        <v>812803.2</v>
      </c>
    </row>
    <row r="1543" spans="1:4">
      <c r="A1543" s="107">
        <v>1</v>
      </c>
      <c r="B1543" s="1324"/>
      <c r="C1543" t="s">
        <v>445</v>
      </c>
      <c r="D1543" s="648">
        <v>61688.3</v>
      </c>
    </row>
    <row r="1544" spans="1:4">
      <c r="A1544" s="107">
        <v>1</v>
      </c>
      <c r="B1544" s="1324"/>
      <c r="C1544" t="s">
        <v>446</v>
      </c>
      <c r="D1544" s="648">
        <v>0</v>
      </c>
    </row>
    <row r="1545" spans="1:4">
      <c r="A1545" s="107">
        <v>1</v>
      </c>
      <c r="B1545" s="1324"/>
      <c r="C1545" t="s">
        <v>1253</v>
      </c>
      <c r="D1545" s="648">
        <v>0</v>
      </c>
    </row>
    <row r="1546" spans="1:4" ht="12.75" customHeight="1">
      <c r="A1546" s="107">
        <v>1</v>
      </c>
      <c r="B1546" s="1324"/>
      <c r="C1546" t="s">
        <v>421</v>
      </c>
      <c r="D1546" s="648">
        <v>0</v>
      </c>
    </row>
    <row r="1547" spans="1:4" ht="12.75" customHeight="1">
      <c r="A1547" s="107">
        <v>2</v>
      </c>
      <c r="B1547" s="1323" t="s">
        <v>979</v>
      </c>
      <c r="C1547" t="s">
        <v>444</v>
      </c>
      <c r="D1547" s="648">
        <v>846956.9</v>
      </c>
    </row>
    <row r="1548" spans="1:4">
      <c r="A1548" s="107">
        <v>2</v>
      </c>
      <c r="B1548" s="1324"/>
      <c r="C1548" t="s">
        <v>445</v>
      </c>
      <c r="D1548" s="648">
        <v>0</v>
      </c>
    </row>
    <row r="1549" spans="1:4">
      <c r="A1549" s="107">
        <v>2</v>
      </c>
      <c r="B1549" s="1324"/>
      <c r="C1549" t="s">
        <v>446</v>
      </c>
      <c r="D1549" s="648">
        <v>0</v>
      </c>
    </row>
    <row r="1550" spans="1:4">
      <c r="A1550" s="107">
        <v>2</v>
      </c>
      <c r="B1550" s="1324"/>
      <c r="C1550" t="s">
        <v>1253</v>
      </c>
      <c r="D1550" s="648">
        <v>0</v>
      </c>
    </row>
    <row r="1551" spans="1:4" ht="12.75" customHeight="1">
      <c r="A1551" s="107">
        <v>2</v>
      </c>
      <c r="B1551" s="1324"/>
      <c r="C1551" t="s">
        <v>421</v>
      </c>
      <c r="D1551" s="648">
        <v>0</v>
      </c>
    </row>
    <row r="1552" spans="1:4" ht="12.75" customHeight="1">
      <c r="A1552" s="107">
        <v>1</v>
      </c>
      <c r="B1552" s="1323" t="s">
        <v>980</v>
      </c>
      <c r="C1552" t="s">
        <v>444</v>
      </c>
      <c r="D1552" s="648">
        <v>1583804.6</v>
      </c>
    </row>
    <row r="1553" spans="1:4">
      <c r="A1553" s="107">
        <v>1</v>
      </c>
      <c r="B1553" s="1324"/>
      <c r="C1553" t="s">
        <v>445</v>
      </c>
      <c r="D1553" s="648">
        <v>167633.29999999999</v>
      </c>
    </row>
    <row r="1554" spans="1:4">
      <c r="A1554" s="107">
        <v>1</v>
      </c>
      <c r="B1554" s="1324"/>
      <c r="C1554" t="s">
        <v>446</v>
      </c>
      <c r="D1554" s="648">
        <v>0</v>
      </c>
    </row>
    <row r="1555" spans="1:4">
      <c r="A1555" s="107">
        <v>1</v>
      </c>
      <c r="B1555" s="1324"/>
      <c r="C1555" t="s">
        <v>1253</v>
      </c>
      <c r="D1555" s="648">
        <v>0</v>
      </c>
    </row>
    <row r="1556" spans="1:4" ht="12.75" customHeight="1">
      <c r="A1556" s="107">
        <v>1</v>
      </c>
      <c r="B1556" s="1324"/>
      <c r="C1556" t="s">
        <v>421</v>
      </c>
      <c r="D1556" s="648">
        <v>20572.900000000001</v>
      </c>
    </row>
    <row r="1557" spans="1:4" ht="12.75" customHeight="1">
      <c r="A1557" s="107">
        <v>1</v>
      </c>
      <c r="B1557" s="1323" t="s">
        <v>981</v>
      </c>
      <c r="C1557" t="s">
        <v>444</v>
      </c>
      <c r="D1557" s="648">
        <v>1354110.3</v>
      </c>
    </row>
    <row r="1558" spans="1:4">
      <c r="A1558" s="107">
        <v>1</v>
      </c>
      <c r="B1558" s="1324"/>
      <c r="C1558" t="s">
        <v>445</v>
      </c>
      <c r="D1558" s="648">
        <v>546893.9</v>
      </c>
    </row>
    <row r="1559" spans="1:4">
      <c r="A1559" s="107">
        <v>1</v>
      </c>
      <c r="B1559" s="1324"/>
      <c r="C1559" t="s">
        <v>446</v>
      </c>
      <c r="D1559" s="648">
        <v>0</v>
      </c>
    </row>
    <row r="1560" spans="1:4">
      <c r="A1560" s="107">
        <v>1</v>
      </c>
      <c r="B1560" s="1324"/>
      <c r="C1560" t="s">
        <v>1253</v>
      </c>
      <c r="D1560" s="648">
        <v>0</v>
      </c>
    </row>
    <row r="1561" spans="1:4">
      <c r="A1561" s="107">
        <v>1</v>
      </c>
      <c r="B1561" s="1324"/>
      <c r="C1561" t="s">
        <v>421</v>
      </c>
      <c r="D1561" s="648">
        <v>0</v>
      </c>
    </row>
    <row r="1562" spans="1:4" ht="12.75" customHeight="1">
      <c r="A1562" s="107">
        <v>4</v>
      </c>
      <c r="B1562" s="1323" t="s">
        <v>983</v>
      </c>
      <c r="C1562" t="s">
        <v>444</v>
      </c>
      <c r="D1562" s="648">
        <v>779336</v>
      </c>
    </row>
    <row r="1563" spans="1:4">
      <c r="A1563" s="107">
        <v>4</v>
      </c>
      <c r="B1563" s="1324"/>
      <c r="C1563" t="s">
        <v>445</v>
      </c>
      <c r="D1563" s="648">
        <v>25068</v>
      </c>
    </row>
    <row r="1564" spans="1:4">
      <c r="A1564" s="107">
        <v>4</v>
      </c>
      <c r="B1564" s="1324"/>
      <c r="C1564" t="s">
        <v>446</v>
      </c>
      <c r="D1564" s="648">
        <v>264488</v>
      </c>
    </row>
    <row r="1565" spans="1:4">
      <c r="A1565" s="107">
        <v>4</v>
      </c>
      <c r="B1565" s="1324"/>
      <c r="C1565" t="s">
        <v>1253</v>
      </c>
      <c r="D1565" s="648">
        <v>0</v>
      </c>
    </row>
    <row r="1566" spans="1:4">
      <c r="A1566" s="107">
        <v>4</v>
      </c>
      <c r="B1566" s="1324"/>
      <c r="C1566" t="s">
        <v>421</v>
      </c>
      <c r="D1566" s="648">
        <v>2996</v>
      </c>
    </row>
    <row r="1567" spans="1:4">
      <c r="A1567" s="107">
        <v>9</v>
      </c>
      <c r="B1567" s="1323" t="s">
        <v>984</v>
      </c>
      <c r="C1567" t="s">
        <v>444</v>
      </c>
      <c r="D1567" s="648">
        <v>562578</v>
      </c>
    </row>
    <row r="1568" spans="1:4">
      <c r="A1568" s="107">
        <v>9</v>
      </c>
      <c r="B1568" s="1324"/>
      <c r="C1568" t="s">
        <v>445</v>
      </c>
      <c r="D1568" s="648">
        <v>19834</v>
      </c>
    </row>
    <row r="1569" spans="1:4">
      <c r="A1569" s="107">
        <v>9</v>
      </c>
      <c r="B1569" s="1324"/>
      <c r="C1569" t="s">
        <v>446</v>
      </c>
      <c r="D1569" s="648">
        <v>0</v>
      </c>
    </row>
    <row r="1570" spans="1:4">
      <c r="A1570" s="107">
        <v>9</v>
      </c>
      <c r="B1570" s="1324"/>
      <c r="C1570" t="s">
        <v>1253</v>
      </c>
      <c r="D1570" s="648">
        <v>0</v>
      </c>
    </row>
    <row r="1571" spans="1:4">
      <c r="A1571" s="107">
        <v>9</v>
      </c>
      <c r="B1571" s="1324"/>
      <c r="C1571" t="s">
        <v>421</v>
      </c>
      <c r="D1571" s="648">
        <v>17213</v>
      </c>
    </row>
    <row r="1572" spans="1:4">
      <c r="A1572" s="107">
        <v>1</v>
      </c>
      <c r="B1572" s="1323" t="s">
        <v>985</v>
      </c>
      <c r="C1572" t="s">
        <v>444</v>
      </c>
      <c r="D1572" s="648">
        <v>0</v>
      </c>
    </row>
    <row r="1573" spans="1:4">
      <c r="A1573" s="107">
        <v>1</v>
      </c>
      <c r="B1573" s="1324"/>
      <c r="C1573" t="s">
        <v>445</v>
      </c>
      <c r="D1573" s="648">
        <v>0</v>
      </c>
    </row>
    <row r="1574" spans="1:4">
      <c r="A1574" s="107">
        <v>1</v>
      </c>
      <c r="B1574" s="1324"/>
      <c r="C1574" t="s">
        <v>446</v>
      </c>
      <c r="D1574" s="648">
        <v>48123.199999999997</v>
      </c>
    </row>
    <row r="1575" spans="1:4">
      <c r="A1575" s="107">
        <v>1</v>
      </c>
      <c r="B1575" s="1324"/>
      <c r="C1575" t="s">
        <v>1253</v>
      </c>
      <c r="D1575" s="648">
        <v>0</v>
      </c>
    </row>
    <row r="1576" spans="1:4">
      <c r="A1576" s="107">
        <v>1</v>
      </c>
      <c r="B1576" s="1324"/>
      <c r="C1576" t="s">
        <v>421</v>
      </c>
      <c r="D1576" s="648">
        <v>0</v>
      </c>
    </row>
    <row r="1577" spans="1:4">
      <c r="A1577" s="107">
        <v>3</v>
      </c>
      <c r="B1577" s="1323" t="s">
        <v>986</v>
      </c>
      <c r="C1577" t="s">
        <v>444</v>
      </c>
      <c r="D1577" s="648">
        <v>1340081.3</v>
      </c>
    </row>
    <row r="1578" spans="1:4">
      <c r="A1578" s="107">
        <v>3</v>
      </c>
      <c r="B1578" s="1324"/>
      <c r="C1578" t="s">
        <v>445</v>
      </c>
      <c r="D1578" s="648">
        <v>26439.200000000001</v>
      </c>
    </row>
    <row r="1579" spans="1:4">
      <c r="A1579" s="107">
        <v>3</v>
      </c>
      <c r="B1579" s="1324"/>
      <c r="C1579" t="s">
        <v>446</v>
      </c>
      <c r="D1579" s="648">
        <v>0</v>
      </c>
    </row>
    <row r="1580" spans="1:4">
      <c r="A1580" s="107">
        <v>3</v>
      </c>
      <c r="B1580" s="1324"/>
      <c r="C1580" t="s">
        <v>1253</v>
      </c>
      <c r="D1580" s="648">
        <v>0</v>
      </c>
    </row>
    <row r="1581" spans="1:4">
      <c r="A1581" s="107">
        <v>3</v>
      </c>
      <c r="B1581" s="1324"/>
      <c r="C1581" t="s">
        <v>421</v>
      </c>
      <c r="D1581" s="648">
        <v>0</v>
      </c>
    </row>
    <row r="1582" spans="1:4">
      <c r="A1582" s="107">
        <v>1</v>
      </c>
      <c r="B1582" s="1323" t="s">
        <v>987</v>
      </c>
      <c r="C1582" t="s">
        <v>444</v>
      </c>
      <c r="D1582" s="648">
        <v>147544.6</v>
      </c>
    </row>
    <row r="1583" spans="1:4">
      <c r="A1583" s="107">
        <v>1</v>
      </c>
      <c r="B1583" s="1324"/>
      <c r="C1583" t="s">
        <v>445</v>
      </c>
      <c r="D1583" s="648">
        <v>23051.8</v>
      </c>
    </row>
    <row r="1584" spans="1:4">
      <c r="A1584" s="107">
        <v>1</v>
      </c>
      <c r="B1584" s="1324"/>
      <c r="C1584" t="s">
        <v>446</v>
      </c>
      <c r="D1584" s="648">
        <v>136413.79999999999</v>
      </c>
    </row>
    <row r="1585" spans="1:4">
      <c r="A1585" s="107">
        <v>1</v>
      </c>
      <c r="B1585" s="1324"/>
      <c r="C1585" t="s">
        <v>1253</v>
      </c>
      <c r="D1585" s="648">
        <v>0</v>
      </c>
    </row>
    <row r="1586" spans="1:4" ht="12.75" customHeight="1">
      <c r="A1586" s="107">
        <v>1</v>
      </c>
      <c r="B1586" s="1324"/>
      <c r="C1586" t="s">
        <v>421</v>
      </c>
      <c r="D1586" s="648">
        <v>0</v>
      </c>
    </row>
    <row r="1587" spans="1:4" ht="12.75" customHeight="1">
      <c r="A1587" s="107">
        <v>1</v>
      </c>
      <c r="B1587" s="1323" t="s">
        <v>988</v>
      </c>
      <c r="C1587" t="s">
        <v>444</v>
      </c>
      <c r="D1587" s="648">
        <v>19019.900000000001</v>
      </c>
    </row>
    <row r="1588" spans="1:4">
      <c r="A1588" s="107">
        <v>1</v>
      </c>
      <c r="B1588" s="1324"/>
      <c r="C1588" t="s">
        <v>445</v>
      </c>
      <c r="D1588" s="648">
        <v>0</v>
      </c>
    </row>
    <row r="1589" spans="1:4">
      <c r="A1589" s="107">
        <v>1</v>
      </c>
      <c r="B1589" s="1324"/>
      <c r="C1589" t="s">
        <v>446</v>
      </c>
      <c r="D1589" s="648">
        <v>3755.8</v>
      </c>
    </row>
    <row r="1590" spans="1:4">
      <c r="A1590" s="107">
        <v>1</v>
      </c>
      <c r="B1590" s="1324"/>
      <c r="C1590" t="s">
        <v>1253</v>
      </c>
      <c r="D1590" s="648">
        <v>0</v>
      </c>
    </row>
    <row r="1591" spans="1:4" ht="12.75" customHeight="1">
      <c r="A1591" s="107">
        <v>1</v>
      </c>
      <c r="B1591" s="1324"/>
      <c r="C1591" t="s">
        <v>421</v>
      </c>
      <c r="D1591" s="648">
        <v>0</v>
      </c>
    </row>
    <row r="1592" spans="1:4" ht="12.75" customHeight="1">
      <c r="A1592" s="107">
        <v>1</v>
      </c>
      <c r="B1592" s="1323" t="s">
        <v>989</v>
      </c>
      <c r="C1592" t="s">
        <v>444</v>
      </c>
      <c r="D1592" s="648">
        <v>115461.6</v>
      </c>
    </row>
    <row r="1593" spans="1:4">
      <c r="A1593" s="107">
        <v>1</v>
      </c>
      <c r="B1593" s="1324"/>
      <c r="C1593" t="s">
        <v>445</v>
      </c>
      <c r="D1593" s="648">
        <v>0</v>
      </c>
    </row>
    <row r="1594" spans="1:4">
      <c r="A1594" s="107">
        <v>1</v>
      </c>
      <c r="B1594" s="1324"/>
      <c r="C1594" t="s">
        <v>446</v>
      </c>
      <c r="D1594" s="648">
        <v>50619.4</v>
      </c>
    </row>
    <row r="1595" spans="1:4">
      <c r="A1595" s="107">
        <v>1</v>
      </c>
      <c r="B1595" s="1324"/>
      <c r="C1595" t="s">
        <v>1253</v>
      </c>
      <c r="D1595" s="648">
        <v>0</v>
      </c>
    </row>
    <row r="1596" spans="1:4">
      <c r="A1596" s="107">
        <v>1</v>
      </c>
      <c r="B1596" s="1324"/>
      <c r="C1596" t="s">
        <v>421</v>
      </c>
      <c r="D1596" s="648">
        <v>0</v>
      </c>
    </row>
    <row r="1597" spans="1:4">
      <c r="A1597" s="107">
        <v>1</v>
      </c>
      <c r="B1597" s="1323" t="s">
        <v>990</v>
      </c>
      <c r="C1597" t="s">
        <v>444</v>
      </c>
      <c r="D1597" s="648">
        <v>21792.1</v>
      </c>
    </row>
    <row r="1598" spans="1:4">
      <c r="A1598" s="107">
        <v>1</v>
      </c>
      <c r="B1598" s="1324"/>
      <c r="C1598" t="s">
        <v>445</v>
      </c>
      <c r="D1598" s="648">
        <v>31268.3</v>
      </c>
    </row>
    <row r="1599" spans="1:4">
      <c r="A1599" s="107">
        <v>1</v>
      </c>
      <c r="B1599" s="1324"/>
      <c r="C1599" t="s">
        <v>446</v>
      </c>
      <c r="D1599" s="648">
        <v>0</v>
      </c>
    </row>
    <row r="1600" spans="1:4">
      <c r="A1600" s="107">
        <v>1</v>
      </c>
      <c r="B1600" s="1324"/>
      <c r="C1600" t="s">
        <v>1253</v>
      </c>
      <c r="D1600" s="648">
        <v>0</v>
      </c>
    </row>
    <row r="1601" spans="1:4">
      <c r="A1601" s="107">
        <v>1</v>
      </c>
      <c r="B1601" s="1324"/>
      <c r="C1601" t="s">
        <v>421</v>
      </c>
      <c r="D1601" s="648">
        <v>0</v>
      </c>
    </row>
    <row r="1602" spans="1:4">
      <c r="A1602" s="107">
        <v>1</v>
      </c>
      <c r="B1602" s="1323" t="s">
        <v>991</v>
      </c>
      <c r="C1602" t="s">
        <v>444</v>
      </c>
      <c r="D1602" s="648">
        <v>38738.6</v>
      </c>
    </row>
    <row r="1603" spans="1:4">
      <c r="A1603" s="107">
        <v>1</v>
      </c>
      <c r="B1603" s="1324"/>
      <c r="C1603" t="s">
        <v>445</v>
      </c>
      <c r="D1603" s="648">
        <v>37170</v>
      </c>
    </row>
    <row r="1604" spans="1:4">
      <c r="A1604" s="107">
        <v>1</v>
      </c>
      <c r="B1604" s="1324"/>
      <c r="C1604" t="s">
        <v>446</v>
      </c>
      <c r="D1604" s="648">
        <v>5951</v>
      </c>
    </row>
    <row r="1605" spans="1:4">
      <c r="A1605" s="107">
        <v>1</v>
      </c>
      <c r="B1605" s="1324"/>
      <c r="C1605" t="s">
        <v>1253</v>
      </c>
      <c r="D1605" s="648">
        <v>0</v>
      </c>
    </row>
    <row r="1606" spans="1:4" ht="12.75" customHeight="1">
      <c r="A1606" s="107">
        <v>1</v>
      </c>
      <c r="B1606" s="1324"/>
      <c r="C1606" t="s">
        <v>421</v>
      </c>
      <c r="D1606" s="648">
        <v>0</v>
      </c>
    </row>
    <row r="1607" spans="1:4" ht="12.75" customHeight="1">
      <c r="A1607" s="107">
        <v>11</v>
      </c>
      <c r="B1607" s="1323" t="s">
        <v>992</v>
      </c>
      <c r="C1607" t="s">
        <v>444</v>
      </c>
      <c r="D1607" s="648">
        <v>21064.6</v>
      </c>
    </row>
    <row r="1608" spans="1:4">
      <c r="A1608" s="107">
        <v>11</v>
      </c>
      <c r="B1608" s="1324"/>
      <c r="C1608" t="s">
        <v>445</v>
      </c>
      <c r="D1608" s="648">
        <v>0</v>
      </c>
    </row>
    <row r="1609" spans="1:4">
      <c r="A1609" s="107">
        <v>11</v>
      </c>
      <c r="B1609" s="1324"/>
      <c r="C1609" t="s">
        <v>446</v>
      </c>
      <c r="D1609" s="648">
        <v>0</v>
      </c>
    </row>
    <row r="1610" spans="1:4">
      <c r="A1610" s="107">
        <v>11</v>
      </c>
      <c r="B1610" s="1324"/>
      <c r="C1610" t="s">
        <v>1253</v>
      </c>
      <c r="D1610" s="648">
        <v>0</v>
      </c>
    </row>
    <row r="1611" spans="1:4">
      <c r="A1611" s="107">
        <v>11</v>
      </c>
      <c r="B1611" s="1325"/>
      <c r="C1611" t="s">
        <v>421</v>
      </c>
      <c r="D1611" s="648">
        <v>0</v>
      </c>
    </row>
    <row r="1612" spans="1:4">
      <c r="A1612" s="107">
        <v>1</v>
      </c>
      <c r="B1612" s="1323" t="s">
        <v>993</v>
      </c>
      <c r="C1612" t="s">
        <v>444</v>
      </c>
      <c r="D1612" s="648">
        <v>42121.599999999999</v>
      </c>
    </row>
    <row r="1613" spans="1:4">
      <c r="A1613" s="107">
        <v>1</v>
      </c>
      <c r="B1613" s="1324"/>
      <c r="C1613" t="s">
        <v>445</v>
      </c>
      <c r="D1613" s="648">
        <v>0</v>
      </c>
    </row>
    <row r="1614" spans="1:4">
      <c r="A1614" s="107">
        <v>1</v>
      </c>
      <c r="B1614" s="1324"/>
      <c r="C1614" t="s">
        <v>446</v>
      </c>
      <c r="D1614" s="648">
        <v>0</v>
      </c>
    </row>
    <row r="1615" spans="1:4">
      <c r="A1615" s="107">
        <v>1</v>
      </c>
      <c r="B1615" s="1324"/>
      <c r="C1615" t="s">
        <v>1253</v>
      </c>
      <c r="D1615" s="648">
        <v>0</v>
      </c>
    </row>
    <row r="1616" spans="1:4">
      <c r="A1616" s="107">
        <v>1</v>
      </c>
      <c r="B1616" s="1325"/>
      <c r="C1616" t="s">
        <v>421</v>
      </c>
      <c r="D1616" s="648">
        <v>0</v>
      </c>
    </row>
    <row r="1617" spans="1:4">
      <c r="A1617" s="107">
        <v>2</v>
      </c>
      <c r="B1617" s="1323" t="s">
        <v>994</v>
      </c>
      <c r="C1617" t="s">
        <v>444</v>
      </c>
      <c r="D1617" s="648">
        <v>129533.6</v>
      </c>
    </row>
    <row r="1618" spans="1:4">
      <c r="A1618" s="107">
        <v>2</v>
      </c>
      <c r="B1618" s="1324"/>
      <c r="C1618" t="s">
        <v>445</v>
      </c>
      <c r="D1618" s="648">
        <v>0</v>
      </c>
    </row>
    <row r="1619" spans="1:4">
      <c r="A1619" s="107">
        <v>2</v>
      </c>
      <c r="B1619" s="1324"/>
      <c r="C1619" t="s">
        <v>446</v>
      </c>
      <c r="D1619" s="648">
        <v>0</v>
      </c>
    </row>
    <row r="1620" spans="1:4">
      <c r="A1620" s="107">
        <v>2</v>
      </c>
      <c r="B1620" s="1324"/>
      <c r="C1620" t="s">
        <v>1253</v>
      </c>
      <c r="D1620" s="648">
        <v>0</v>
      </c>
    </row>
    <row r="1621" spans="1:4">
      <c r="A1621" s="107">
        <v>2</v>
      </c>
      <c r="B1621" s="1324"/>
      <c r="C1621" t="s">
        <v>421</v>
      </c>
      <c r="D1621" s="648">
        <v>0</v>
      </c>
    </row>
    <row r="1622" spans="1:4">
      <c r="A1622" s="107">
        <v>4</v>
      </c>
      <c r="B1622" s="1323" t="s">
        <v>995</v>
      </c>
      <c r="C1622" t="s">
        <v>444</v>
      </c>
      <c r="D1622" s="648">
        <v>188831</v>
      </c>
    </row>
    <row r="1623" spans="1:4">
      <c r="A1623" s="107">
        <v>4</v>
      </c>
      <c r="B1623" s="1324"/>
      <c r="C1623" t="s">
        <v>445</v>
      </c>
      <c r="D1623" s="648">
        <v>831433</v>
      </c>
    </row>
    <row r="1624" spans="1:4">
      <c r="A1624" s="107">
        <v>4</v>
      </c>
      <c r="B1624" s="1324"/>
      <c r="C1624" t="s">
        <v>446</v>
      </c>
      <c r="D1624" s="648">
        <v>0</v>
      </c>
    </row>
    <row r="1625" spans="1:4">
      <c r="A1625" s="107">
        <v>4</v>
      </c>
      <c r="B1625" s="1324"/>
      <c r="C1625" t="s">
        <v>1253</v>
      </c>
      <c r="D1625" s="648">
        <v>0</v>
      </c>
    </row>
    <row r="1626" spans="1:4">
      <c r="A1626" s="107">
        <v>4</v>
      </c>
      <c r="B1626" s="1324"/>
      <c r="C1626" t="s">
        <v>421</v>
      </c>
      <c r="D1626" s="648">
        <v>0</v>
      </c>
    </row>
    <row r="1627" spans="1:4">
      <c r="A1627" s="107">
        <v>2</v>
      </c>
      <c r="B1627" s="1323" t="s">
        <v>996</v>
      </c>
      <c r="C1627" t="s">
        <v>444</v>
      </c>
      <c r="D1627" s="648">
        <v>0</v>
      </c>
    </row>
    <row r="1628" spans="1:4">
      <c r="A1628" s="107">
        <v>2</v>
      </c>
      <c r="B1628" s="1324"/>
      <c r="C1628" t="s">
        <v>445</v>
      </c>
      <c r="D1628" s="648">
        <v>83420</v>
      </c>
    </row>
    <row r="1629" spans="1:4">
      <c r="A1629" s="107">
        <v>2</v>
      </c>
      <c r="B1629" s="1324"/>
      <c r="C1629" t="s">
        <v>446</v>
      </c>
      <c r="D1629" s="648">
        <v>1155</v>
      </c>
    </row>
    <row r="1630" spans="1:4">
      <c r="A1630" s="107">
        <v>2</v>
      </c>
      <c r="B1630" s="1324"/>
      <c r="C1630" t="s">
        <v>1253</v>
      </c>
      <c r="D1630" s="648">
        <v>0</v>
      </c>
    </row>
    <row r="1631" spans="1:4">
      <c r="A1631" s="107">
        <v>2</v>
      </c>
      <c r="B1631" s="1324"/>
      <c r="C1631" t="s">
        <v>421</v>
      </c>
      <c r="D1631" s="648">
        <v>0</v>
      </c>
    </row>
    <row r="1632" spans="1:4">
      <c r="A1632" s="107">
        <v>11</v>
      </c>
      <c r="B1632" s="1323" t="s">
        <v>997</v>
      </c>
      <c r="C1632" t="s">
        <v>444</v>
      </c>
      <c r="D1632" s="648">
        <v>63184.9</v>
      </c>
    </row>
    <row r="1633" spans="1:4">
      <c r="A1633" s="107">
        <v>11</v>
      </c>
      <c r="B1633" s="1324"/>
      <c r="C1633" t="s">
        <v>445</v>
      </c>
      <c r="D1633" s="648">
        <v>0</v>
      </c>
    </row>
    <row r="1634" spans="1:4">
      <c r="A1634" s="107">
        <v>11</v>
      </c>
      <c r="B1634" s="1324"/>
      <c r="C1634" t="s">
        <v>446</v>
      </c>
      <c r="D1634" s="648">
        <v>7550</v>
      </c>
    </row>
    <row r="1635" spans="1:4">
      <c r="A1635" s="107">
        <v>11</v>
      </c>
      <c r="B1635" s="1324"/>
      <c r="C1635" t="s">
        <v>1253</v>
      </c>
      <c r="D1635" s="648">
        <v>0</v>
      </c>
    </row>
    <row r="1636" spans="1:4" ht="12.75" customHeight="1">
      <c r="A1636" s="107">
        <v>11</v>
      </c>
      <c r="B1636" s="1324"/>
      <c r="C1636" t="s">
        <v>421</v>
      </c>
      <c r="D1636" s="648">
        <v>0</v>
      </c>
    </row>
    <row r="1637" spans="1:4" ht="12.75" customHeight="1">
      <c r="A1637" s="107">
        <v>2</v>
      </c>
      <c r="B1637" s="1323" t="s">
        <v>998</v>
      </c>
      <c r="C1637" t="s">
        <v>444</v>
      </c>
      <c r="D1637" s="648">
        <v>0</v>
      </c>
    </row>
    <row r="1638" spans="1:4">
      <c r="A1638" s="107">
        <v>2</v>
      </c>
      <c r="B1638" s="1324"/>
      <c r="C1638" t="s">
        <v>445</v>
      </c>
      <c r="D1638" s="648">
        <v>0</v>
      </c>
    </row>
    <row r="1639" spans="1:4">
      <c r="A1639" s="107">
        <v>2</v>
      </c>
      <c r="B1639" s="1324"/>
      <c r="C1639" t="s">
        <v>446</v>
      </c>
      <c r="D1639" s="648">
        <v>447441.9</v>
      </c>
    </row>
    <row r="1640" spans="1:4">
      <c r="A1640" s="107">
        <v>2</v>
      </c>
      <c r="B1640" s="1324"/>
      <c r="C1640" t="s">
        <v>1253</v>
      </c>
      <c r="D1640" s="648">
        <v>0</v>
      </c>
    </row>
    <row r="1641" spans="1:4" ht="12.75" customHeight="1">
      <c r="A1641" s="107">
        <v>2</v>
      </c>
      <c r="B1641" s="1324"/>
      <c r="C1641" t="s">
        <v>421</v>
      </c>
      <c r="D1641" s="648">
        <v>0</v>
      </c>
    </row>
    <row r="1642" spans="1:4" ht="12.75" customHeight="1">
      <c r="A1642" s="107">
        <v>1</v>
      </c>
      <c r="B1642" s="1323" t="s">
        <v>999</v>
      </c>
      <c r="C1642" t="s">
        <v>444</v>
      </c>
      <c r="D1642" s="648">
        <v>328088.3</v>
      </c>
    </row>
    <row r="1643" spans="1:4">
      <c r="A1643" s="107">
        <v>1</v>
      </c>
      <c r="B1643" s="1324"/>
      <c r="C1643" t="s">
        <v>445</v>
      </c>
      <c r="D1643" s="648">
        <v>996989.6</v>
      </c>
    </row>
    <row r="1644" spans="1:4">
      <c r="A1644" s="107">
        <v>1</v>
      </c>
      <c r="B1644" s="1324"/>
      <c r="C1644" t="s">
        <v>446</v>
      </c>
      <c r="D1644" s="648">
        <v>25476.5</v>
      </c>
    </row>
    <row r="1645" spans="1:4">
      <c r="A1645" s="107">
        <v>1</v>
      </c>
      <c r="B1645" s="1324"/>
      <c r="C1645" t="s">
        <v>1253</v>
      </c>
      <c r="D1645" s="648">
        <v>0</v>
      </c>
    </row>
    <row r="1646" spans="1:4" ht="12.75" customHeight="1">
      <c r="A1646" s="107">
        <v>1</v>
      </c>
      <c r="B1646" s="1324"/>
      <c r="C1646" t="s">
        <v>421</v>
      </c>
      <c r="D1646" s="648">
        <v>0</v>
      </c>
    </row>
    <row r="1647" spans="1:4" ht="12.75" customHeight="1">
      <c r="A1647" s="107">
        <v>2</v>
      </c>
      <c r="B1647" s="1324" t="s">
        <v>1550</v>
      </c>
      <c r="C1647" t="s">
        <v>444</v>
      </c>
      <c r="D1647" s="648">
        <v>34405.4</v>
      </c>
    </row>
    <row r="1648" spans="1:4">
      <c r="A1648" s="107">
        <v>2</v>
      </c>
      <c r="B1648" s="1324"/>
      <c r="C1648" t="s">
        <v>445</v>
      </c>
      <c r="D1648" s="648">
        <v>0</v>
      </c>
    </row>
    <row r="1649" spans="1:4">
      <c r="A1649" s="107">
        <v>2</v>
      </c>
      <c r="B1649" s="1324"/>
      <c r="C1649" t="s">
        <v>446</v>
      </c>
      <c r="D1649" s="648">
        <v>0</v>
      </c>
    </row>
    <row r="1650" spans="1:4">
      <c r="A1650" s="107">
        <v>2</v>
      </c>
      <c r="B1650" s="1324"/>
      <c r="C1650" t="s">
        <v>1253</v>
      </c>
      <c r="D1650" s="648">
        <v>0</v>
      </c>
    </row>
    <row r="1651" spans="1:4">
      <c r="A1651" s="107">
        <v>2</v>
      </c>
      <c r="B1651" s="1324"/>
      <c r="C1651" t="s">
        <v>421</v>
      </c>
      <c r="D1651" s="648">
        <v>0</v>
      </c>
    </row>
    <row r="1652" spans="1:4">
      <c r="A1652" s="107">
        <v>2</v>
      </c>
      <c r="B1652" s="1324" t="s">
        <v>1551</v>
      </c>
      <c r="C1652" t="s">
        <v>444</v>
      </c>
      <c r="D1652" s="648">
        <v>14268.3</v>
      </c>
    </row>
    <row r="1653" spans="1:4">
      <c r="A1653" s="107">
        <v>2</v>
      </c>
      <c r="B1653" s="1324"/>
      <c r="C1653" t="s">
        <v>445</v>
      </c>
      <c r="D1653" s="648">
        <v>0</v>
      </c>
    </row>
    <row r="1654" spans="1:4">
      <c r="A1654" s="107">
        <v>2</v>
      </c>
      <c r="B1654" s="1324"/>
      <c r="C1654" t="s">
        <v>446</v>
      </c>
      <c r="D1654" s="648">
        <v>0</v>
      </c>
    </row>
    <row r="1655" spans="1:4">
      <c r="A1655" s="107">
        <v>2</v>
      </c>
      <c r="B1655" s="1324"/>
      <c r="C1655" t="s">
        <v>1253</v>
      </c>
      <c r="D1655" s="648">
        <v>0</v>
      </c>
    </row>
    <row r="1656" spans="1:4" ht="12.75" customHeight="1">
      <c r="A1656" s="107">
        <v>2</v>
      </c>
      <c r="B1656" s="1324"/>
      <c r="C1656" t="s">
        <v>421</v>
      </c>
      <c r="D1656" s="648">
        <v>0</v>
      </c>
    </row>
    <row r="1657" spans="1:4" ht="12.75" customHeight="1">
      <c r="A1657" s="107">
        <v>2</v>
      </c>
      <c r="B1657" s="1324" t="s">
        <v>1552</v>
      </c>
      <c r="C1657" t="s">
        <v>444</v>
      </c>
      <c r="D1657" s="648">
        <v>24029.7</v>
      </c>
    </row>
    <row r="1658" spans="1:4">
      <c r="A1658" s="107">
        <v>2</v>
      </c>
      <c r="B1658" s="1324"/>
      <c r="C1658" t="s">
        <v>445</v>
      </c>
      <c r="D1658" s="648">
        <v>0</v>
      </c>
    </row>
    <row r="1659" spans="1:4">
      <c r="A1659" s="107">
        <v>2</v>
      </c>
      <c r="B1659" s="1324"/>
      <c r="C1659" t="s">
        <v>446</v>
      </c>
      <c r="D1659" s="648">
        <v>17654.3</v>
      </c>
    </row>
    <row r="1660" spans="1:4">
      <c r="A1660" s="107">
        <v>2</v>
      </c>
      <c r="B1660" s="1324"/>
      <c r="C1660" t="s">
        <v>1253</v>
      </c>
      <c r="D1660" s="648">
        <v>0</v>
      </c>
    </row>
    <row r="1661" spans="1:4" ht="12.75" customHeight="1">
      <c r="A1661" s="107">
        <v>2</v>
      </c>
      <c r="B1661" s="1325"/>
      <c r="C1661" t="s">
        <v>421</v>
      </c>
      <c r="D1661" s="648">
        <v>0</v>
      </c>
    </row>
    <row r="1662" spans="1:4" ht="12.75" customHeight="1">
      <c r="A1662" s="107">
        <v>1</v>
      </c>
      <c r="B1662" s="1323" t="s">
        <v>2145</v>
      </c>
      <c r="C1662" t="s">
        <v>444</v>
      </c>
      <c r="D1662" s="648">
        <v>10203.700000000001</v>
      </c>
    </row>
    <row r="1663" spans="1:4" ht="12.75" customHeight="1">
      <c r="A1663" s="107">
        <v>1</v>
      </c>
      <c r="B1663" s="1324"/>
      <c r="C1663" t="s">
        <v>445</v>
      </c>
      <c r="D1663" s="648">
        <v>0</v>
      </c>
    </row>
    <row r="1664" spans="1:4" ht="12.75" customHeight="1">
      <c r="A1664" s="107">
        <v>1</v>
      </c>
      <c r="B1664" s="1324"/>
      <c r="C1664" t="s">
        <v>446</v>
      </c>
      <c r="D1664" s="648">
        <v>0</v>
      </c>
    </row>
    <row r="1665" spans="1:4" ht="12.75" customHeight="1">
      <c r="A1665" s="107">
        <v>1</v>
      </c>
      <c r="B1665" s="1324"/>
      <c r="C1665" t="s">
        <v>1253</v>
      </c>
      <c r="D1665" s="648">
        <v>0</v>
      </c>
    </row>
    <row r="1666" spans="1:4" ht="12.75" customHeight="1">
      <c r="A1666" s="107">
        <v>1</v>
      </c>
      <c r="B1666" s="1325"/>
      <c r="C1666" t="s">
        <v>421</v>
      </c>
      <c r="D1666" s="648">
        <v>0</v>
      </c>
    </row>
    <row r="1667" spans="1:4" s="645" customFormat="1" ht="12.75" customHeight="1">
      <c r="A1667" s="644">
        <v>2</v>
      </c>
      <c r="B1667" s="1323" t="s">
        <v>1000</v>
      </c>
      <c r="C1667" s="645" t="s">
        <v>444</v>
      </c>
      <c r="D1667" s="648">
        <v>0</v>
      </c>
    </row>
    <row r="1668" spans="1:4">
      <c r="A1668" s="107">
        <v>2</v>
      </c>
      <c r="B1668" s="1324"/>
      <c r="C1668" t="s">
        <v>445</v>
      </c>
      <c r="D1668" s="648">
        <v>0</v>
      </c>
    </row>
    <row r="1669" spans="1:4">
      <c r="A1669" s="107">
        <v>2</v>
      </c>
      <c r="B1669" s="1324"/>
      <c r="C1669" t="s">
        <v>446</v>
      </c>
      <c r="D1669" s="648">
        <v>46478.5</v>
      </c>
    </row>
    <row r="1670" spans="1:4">
      <c r="A1670" s="107">
        <v>2</v>
      </c>
      <c r="B1670" s="1324"/>
      <c r="C1670" t="s">
        <v>1253</v>
      </c>
      <c r="D1670" s="648">
        <v>0</v>
      </c>
    </row>
    <row r="1671" spans="1:4" ht="12.75" customHeight="1">
      <c r="A1671" s="107">
        <v>2</v>
      </c>
      <c r="B1671" s="1324"/>
      <c r="C1671" t="s">
        <v>421</v>
      </c>
      <c r="D1671" s="648">
        <v>0</v>
      </c>
    </row>
    <row r="1672" spans="1:4" ht="12.75" customHeight="1">
      <c r="A1672" s="107">
        <v>2</v>
      </c>
      <c r="B1672" s="1323" t="s">
        <v>1001</v>
      </c>
      <c r="C1672" t="s">
        <v>444</v>
      </c>
      <c r="D1672" s="648">
        <v>0</v>
      </c>
    </row>
    <row r="1673" spans="1:4">
      <c r="A1673" s="107">
        <v>2</v>
      </c>
      <c r="B1673" s="1324"/>
      <c r="C1673" t="s">
        <v>445</v>
      </c>
      <c r="D1673" s="648">
        <v>0</v>
      </c>
    </row>
    <row r="1674" spans="1:4">
      <c r="A1674" s="107">
        <v>2</v>
      </c>
      <c r="B1674" s="1324"/>
      <c r="C1674" t="s">
        <v>446</v>
      </c>
      <c r="D1674" s="648">
        <v>38561.4</v>
      </c>
    </row>
    <row r="1675" spans="1:4">
      <c r="A1675" s="107">
        <v>2</v>
      </c>
      <c r="B1675" s="1324"/>
      <c r="C1675" t="s">
        <v>1253</v>
      </c>
      <c r="D1675" s="648">
        <v>0</v>
      </c>
    </row>
    <row r="1676" spans="1:4" ht="12.75" customHeight="1">
      <c r="A1676" s="107">
        <v>2</v>
      </c>
      <c r="B1676" s="1324"/>
      <c r="C1676" t="s">
        <v>421</v>
      </c>
      <c r="D1676" s="648">
        <v>0</v>
      </c>
    </row>
    <row r="1677" spans="1:4" ht="12.75" customHeight="1">
      <c r="A1677" s="107">
        <v>1</v>
      </c>
      <c r="B1677" s="1324" t="s">
        <v>2146</v>
      </c>
      <c r="C1677" t="s">
        <v>444</v>
      </c>
      <c r="D1677" s="648">
        <v>0</v>
      </c>
    </row>
    <row r="1678" spans="1:4" ht="12.75" customHeight="1">
      <c r="A1678" s="107">
        <v>1</v>
      </c>
      <c r="B1678" s="1324"/>
      <c r="C1678" t="s">
        <v>445</v>
      </c>
      <c r="D1678" s="648">
        <v>0</v>
      </c>
    </row>
    <row r="1679" spans="1:4" ht="12.75" customHeight="1">
      <c r="A1679" s="107">
        <v>1</v>
      </c>
      <c r="B1679" s="1324"/>
      <c r="C1679" t="s">
        <v>446</v>
      </c>
      <c r="D1679" s="648">
        <v>0</v>
      </c>
    </row>
    <row r="1680" spans="1:4" ht="12.75" customHeight="1">
      <c r="A1680" s="107">
        <v>1</v>
      </c>
      <c r="B1680" s="1324"/>
      <c r="C1680" t="s">
        <v>1253</v>
      </c>
      <c r="D1680" s="648">
        <v>0</v>
      </c>
    </row>
    <row r="1681" spans="1:4" ht="12.75" customHeight="1">
      <c r="A1681" s="107">
        <v>1</v>
      </c>
      <c r="B1681" s="1325"/>
      <c r="C1681" t="s">
        <v>421</v>
      </c>
      <c r="D1681" s="648">
        <v>0</v>
      </c>
    </row>
    <row r="1682" spans="1:4" ht="12.75" customHeight="1">
      <c r="A1682" s="107">
        <v>2</v>
      </c>
      <c r="B1682" s="1323" t="s">
        <v>1002</v>
      </c>
      <c r="C1682" t="s">
        <v>444</v>
      </c>
      <c r="D1682" s="648">
        <v>0</v>
      </c>
    </row>
    <row r="1683" spans="1:4">
      <c r="A1683" s="107">
        <v>2</v>
      </c>
      <c r="B1683" s="1324"/>
      <c r="C1683" t="s">
        <v>445</v>
      </c>
      <c r="D1683" s="648">
        <v>0</v>
      </c>
    </row>
    <row r="1684" spans="1:4">
      <c r="A1684" s="107">
        <v>2</v>
      </c>
      <c r="B1684" s="1324"/>
      <c r="C1684" t="s">
        <v>446</v>
      </c>
      <c r="D1684" s="648">
        <v>45830.1</v>
      </c>
    </row>
    <row r="1685" spans="1:4">
      <c r="A1685" s="107">
        <v>2</v>
      </c>
      <c r="B1685" s="1324"/>
      <c r="C1685" t="s">
        <v>1253</v>
      </c>
      <c r="D1685" s="648">
        <v>0</v>
      </c>
    </row>
    <row r="1686" spans="1:4" ht="12.75" customHeight="1">
      <c r="A1686" s="107">
        <v>2</v>
      </c>
      <c r="B1686" s="1324"/>
      <c r="C1686" t="s">
        <v>421</v>
      </c>
      <c r="D1686" s="648">
        <v>0</v>
      </c>
    </row>
    <row r="1687" spans="1:4" ht="12.75" customHeight="1">
      <c r="A1687" s="107">
        <v>2</v>
      </c>
      <c r="B1687" s="1323" t="s">
        <v>1003</v>
      </c>
      <c r="C1687" t="s">
        <v>444</v>
      </c>
      <c r="D1687" s="648">
        <v>0</v>
      </c>
    </row>
    <row r="1688" spans="1:4">
      <c r="A1688" s="107">
        <v>2</v>
      </c>
      <c r="B1688" s="1324"/>
      <c r="C1688" t="s">
        <v>445</v>
      </c>
      <c r="D1688" s="648">
        <v>0</v>
      </c>
    </row>
    <row r="1689" spans="1:4">
      <c r="A1689" s="107">
        <v>2</v>
      </c>
      <c r="B1689" s="1324"/>
      <c r="C1689" t="s">
        <v>446</v>
      </c>
      <c r="D1689" s="648">
        <v>54098.8</v>
      </c>
    </row>
    <row r="1690" spans="1:4">
      <c r="A1690" s="107">
        <v>2</v>
      </c>
      <c r="B1690" s="1324"/>
      <c r="C1690" t="s">
        <v>1253</v>
      </c>
      <c r="D1690" s="648">
        <v>0</v>
      </c>
    </row>
    <row r="1691" spans="1:4">
      <c r="A1691" s="107">
        <v>2</v>
      </c>
      <c r="B1691" s="1324"/>
      <c r="C1691" t="s">
        <v>421</v>
      </c>
      <c r="D1691" s="648">
        <v>0</v>
      </c>
    </row>
    <row r="1692" spans="1:4">
      <c r="A1692" s="107">
        <v>1</v>
      </c>
      <c r="B1692" s="1323" t="s">
        <v>1004</v>
      </c>
      <c r="C1692" t="s">
        <v>444</v>
      </c>
      <c r="D1692" s="648">
        <v>313718.5</v>
      </c>
    </row>
    <row r="1693" spans="1:4">
      <c r="A1693" s="107">
        <v>1</v>
      </c>
      <c r="B1693" s="1324"/>
      <c r="C1693" t="s">
        <v>445</v>
      </c>
      <c r="D1693" s="648">
        <v>56757.4</v>
      </c>
    </row>
    <row r="1694" spans="1:4">
      <c r="A1694" s="107">
        <v>1</v>
      </c>
      <c r="B1694" s="1324"/>
      <c r="C1694" t="s">
        <v>446</v>
      </c>
      <c r="D1694" s="648">
        <v>30181.200000000001</v>
      </c>
    </row>
    <row r="1695" spans="1:4">
      <c r="A1695" s="107">
        <v>1</v>
      </c>
      <c r="B1695" s="1324"/>
      <c r="C1695" t="s">
        <v>1253</v>
      </c>
      <c r="D1695" s="648">
        <v>0</v>
      </c>
    </row>
    <row r="1696" spans="1:4" ht="12.75" customHeight="1">
      <c r="A1696" s="107">
        <v>1</v>
      </c>
      <c r="B1696" s="1324"/>
      <c r="C1696" t="s">
        <v>421</v>
      </c>
      <c r="D1696" s="648">
        <v>0</v>
      </c>
    </row>
    <row r="1697" spans="1:4" ht="12.75" customHeight="1">
      <c r="A1697" s="107">
        <v>1</v>
      </c>
      <c r="B1697" s="1323" t="s">
        <v>1005</v>
      </c>
      <c r="C1697" t="s">
        <v>444</v>
      </c>
      <c r="D1697" s="648">
        <v>2203156.9</v>
      </c>
    </row>
    <row r="1698" spans="1:4">
      <c r="A1698" s="107">
        <v>1</v>
      </c>
      <c r="B1698" s="1324"/>
      <c r="C1698" t="s">
        <v>445</v>
      </c>
      <c r="D1698" s="648">
        <v>346012.3</v>
      </c>
    </row>
    <row r="1699" spans="1:4">
      <c r="A1699" s="107">
        <v>1</v>
      </c>
      <c r="B1699" s="1324"/>
      <c r="C1699" t="s">
        <v>446</v>
      </c>
      <c r="D1699" s="648">
        <v>268184.40000000002</v>
      </c>
    </row>
    <row r="1700" spans="1:4">
      <c r="A1700" s="107">
        <v>1</v>
      </c>
      <c r="B1700" s="1324"/>
      <c r="C1700" t="s">
        <v>1253</v>
      </c>
      <c r="D1700" s="648">
        <v>0</v>
      </c>
    </row>
    <row r="1701" spans="1:4" ht="12.75" customHeight="1">
      <c r="A1701" s="107">
        <v>1</v>
      </c>
      <c r="B1701" s="1324"/>
      <c r="C1701" t="s">
        <v>421</v>
      </c>
      <c r="D1701" s="648">
        <v>65891.8</v>
      </c>
    </row>
    <row r="1702" spans="1:4" ht="12.75" customHeight="1">
      <c r="A1702" s="107">
        <v>1</v>
      </c>
      <c r="B1702" s="1323" t="s">
        <v>1006</v>
      </c>
      <c r="C1702" t="s">
        <v>444</v>
      </c>
      <c r="D1702" s="648">
        <v>815037.8</v>
      </c>
    </row>
    <row r="1703" spans="1:4">
      <c r="A1703" s="107">
        <v>1</v>
      </c>
      <c r="B1703" s="1324"/>
      <c r="C1703" t="s">
        <v>445</v>
      </c>
      <c r="D1703" s="648">
        <v>2919.2</v>
      </c>
    </row>
    <row r="1704" spans="1:4">
      <c r="A1704" s="107">
        <v>1</v>
      </c>
      <c r="B1704" s="1324"/>
      <c r="C1704" t="s">
        <v>446</v>
      </c>
      <c r="D1704" s="648">
        <v>40828.699999999997</v>
      </c>
    </row>
    <row r="1705" spans="1:4">
      <c r="A1705" s="107">
        <v>1</v>
      </c>
      <c r="B1705" s="1324"/>
      <c r="C1705" t="s">
        <v>1253</v>
      </c>
      <c r="D1705" s="648">
        <v>0</v>
      </c>
    </row>
    <row r="1706" spans="1:4" ht="12.75" customHeight="1">
      <c r="A1706" s="107">
        <v>1</v>
      </c>
      <c r="B1706" s="1324"/>
      <c r="C1706" t="s">
        <v>421</v>
      </c>
      <c r="D1706" s="648">
        <v>3575.6</v>
      </c>
    </row>
    <row r="1707" spans="1:4" ht="12.75" customHeight="1">
      <c r="A1707" s="107">
        <v>4</v>
      </c>
      <c r="B1707" s="1323" t="s">
        <v>1007</v>
      </c>
      <c r="C1707" t="s">
        <v>444</v>
      </c>
      <c r="D1707" s="648">
        <v>964347</v>
      </c>
    </row>
    <row r="1708" spans="1:4">
      <c r="A1708" s="107">
        <v>4</v>
      </c>
      <c r="B1708" s="1324"/>
      <c r="C1708" t="s">
        <v>445</v>
      </c>
      <c r="D1708" s="648">
        <v>20215.900000000001</v>
      </c>
    </row>
    <row r="1709" spans="1:4">
      <c r="A1709" s="107">
        <v>4</v>
      </c>
      <c r="B1709" s="1324"/>
      <c r="C1709" t="s">
        <v>446</v>
      </c>
      <c r="D1709" s="648">
        <v>75829.2</v>
      </c>
    </row>
    <row r="1710" spans="1:4">
      <c r="A1710" s="107">
        <v>4</v>
      </c>
      <c r="B1710" s="1324"/>
      <c r="C1710" t="s">
        <v>1253</v>
      </c>
      <c r="D1710" s="648">
        <v>0</v>
      </c>
    </row>
    <row r="1711" spans="1:4" ht="12.75" customHeight="1">
      <c r="A1711" s="107">
        <v>4</v>
      </c>
      <c r="B1711" s="1324"/>
      <c r="C1711" t="s">
        <v>421</v>
      </c>
      <c r="D1711" s="648">
        <v>21540.5</v>
      </c>
    </row>
    <row r="1712" spans="1:4" ht="12.75" customHeight="1">
      <c r="A1712" s="107">
        <v>11</v>
      </c>
      <c r="B1712" s="1323" t="s">
        <v>1008</v>
      </c>
      <c r="C1712" t="s">
        <v>444</v>
      </c>
      <c r="D1712" s="648">
        <v>1061416.3</v>
      </c>
    </row>
    <row r="1713" spans="1:4">
      <c r="A1713" s="107">
        <v>11</v>
      </c>
      <c r="B1713" s="1324"/>
      <c r="C1713" t="s">
        <v>445</v>
      </c>
      <c r="D1713" s="648">
        <v>567289.19999999995</v>
      </c>
    </row>
    <row r="1714" spans="1:4">
      <c r="A1714" s="107">
        <v>11</v>
      </c>
      <c r="B1714" s="1324"/>
      <c r="C1714" t="s">
        <v>446</v>
      </c>
      <c r="D1714" s="648">
        <v>19367.7</v>
      </c>
    </row>
    <row r="1715" spans="1:4">
      <c r="A1715" s="107">
        <v>11</v>
      </c>
      <c r="B1715" s="1324"/>
      <c r="C1715" t="s">
        <v>1253</v>
      </c>
      <c r="D1715" s="648">
        <v>0</v>
      </c>
    </row>
    <row r="1716" spans="1:4" ht="12.75" customHeight="1">
      <c r="A1716" s="107">
        <v>11</v>
      </c>
      <c r="B1716" s="1324"/>
      <c r="C1716" t="s">
        <v>421</v>
      </c>
      <c r="D1716" s="648">
        <v>0</v>
      </c>
    </row>
    <row r="1717" spans="1:4" ht="12.75" customHeight="1">
      <c r="A1717" s="107">
        <v>3</v>
      </c>
      <c r="B1717" s="1323" t="s">
        <v>1009</v>
      </c>
      <c r="C1717" t="s">
        <v>444</v>
      </c>
      <c r="D1717" s="648">
        <v>47946.400000000001</v>
      </c>
    </row>
    <row r="1718" spans="1:4">
      <c r="A1718" s="107">
        <v>3</v>
      </c>
      <c r="B1718" s="1324"/>
      <c r="C1718" t="s">
        <v>445</v>
      </c>
      <c r="D1718" s="648">
        <v>0</v>
      </c>
    </row>
    <row r="1719" spans="1:4">
      <c r="A1719" s="107">
        <v>3</v>
      </c>
      <c r="B1719" s="1324"/>
      <c r="C1719" t="s">
        <v>446</v>
      </c>
      <c r="D1719" s="648">
        <v>13915</v>
      </c>
    </row>
    <row r="1720" spans="1:4">
      <c r="A1720" s="107">
        <v>3</v>
      </c>
      <c r="B1720" s="1324"/>
      <c r="C1720" t="s">
        <v>1253</v>
      </c>
      <c r="D1720" s="648">
        <v>0</v>
      </c>
    </row>
    <row r="1721" spans="1:4" ht="12.75" customHeight="1">
      <c r="A1721" s="107">
        <v>3</v>
      </c>
      <c r="B1721" s="1324"/>
      <c r="C1721" t="s">
        <v>421</v>
      </c>
      <c r="D1721" s="648">
        <v>0</v>
      </c>
    </row>
    <row r="1722" spans="1:4" ht="12.75" customHeight="1">
      <c r="A1722" s="107">
        <v>1</v>
      </c>
      <c r="B1722" s="1323" t="s">
        <v>1010</v>
      </c>
      <c r="C1722" t="s">
        <v>444</v>
      </c>
      <c r="D1722" s="648">
        <v>121962</v>
      </c>
    </row>
    <row r="1723" spans="1:4">
      <c r="A1723" s="107">
        <v>1</v>
      </c>
      <c r="B1723" s="1324"/>
      <c r="C1723" t="s">
        <v>445</v>
      </c>
      <c r="D1723" s="648">
        <v>0</v>
      </c>
    </row>
    <row r="1724" spans="1:4">
      <c r="A1724" s="107">
        <v>1</v>
      </c>
      <c r="B1724" s="1324"/>
      <c r="C1724" t="s">
        <v>446</v>
      </c>
      <c r="D1724" s="648">
        <v>12232.7</v>
      </c>
    </row>
    <row r="1725" spans="1:4">
      <c r="A1725" s="107">
        <v>1</v>
      </c>
      <c r="B1725" s="1324"/>
      <c r="C1725" t="s">
        <v>1253</v>
      </c>
      <c r="D1725" s="648">
        <v>0</v>
      </c>
    </row>
    <row r="1726" spans="1:4" ht="12.75" customHeight="1">
      <c r="A1726" s="107">
        <v>1</v>
      </c>
      <c r="B1726" s="1325"/>
      <c r="C1726" t="s">
        <v>421</v>
      </c>
      <c r="D1726" s="648">
        <v>0</v>
      </c>
    </row>
    <row r="1727" spans="1:4" ht="12.75" customHeight="1">
      <c r="A1727" s="107">
        <v>4</v>
      </c>
      <c r="B1727" s="1323" t="s">
        <v>1011</v>
      </c>
      <c r="C1727" t="s">
        <v>444</v>
      </c>
      <c r="D1727" s="648">
        <v>422623</v>
      </c>
    </row>
    <row r="1728" spans="1:4">
      <c r="A1728" s="107">
        <v>4</v>
      </c>
      <c r="B1728" s="1324"/>
      <c r="C1728" t="s">
        <v>445</v>
      </c>
      <c r="D1728" s="648">
        <v>0</v>
      </c>
    </row>
    <row r="1729" spans="1:4">
      <c r="A1729" s="107">
        <v>4</v>
      </c>
      <c r="B1729" s="1324"/>
      <c r="C1729" t="s">
        <v>446</v>
      </c>
      <c r="D1729" s="648">
        <v>33688.6</v>
      </c>
    </row>
    <row r="1730" spans="1:4">
      <c r="A1730" s="107">
        <v>4</v>
      </c>
      <c r="B1730" s="1324"/>
      <c r="C1730" t="s">
        <v>1253</v>
      </c>
      <c r="D1730" s="648">
        <v>0</v>
      </c>
    </row>
    <row r="1731" spans="1:4" ht="12.75" customHeight="1">
      <c r="A1731" s="107">
        <v>4</v>
      </c>
      <c r="B1731" s="1324"/>
      <c r="C1731" t="s">
        <v>421</v>
      </c>
      <c r="D1731" s="648">
        <v>1564.1</v>
      </c>
    </row>
    <row r="1732" spans="1:4" ht="12.75" customHeight="1">
      <c r="A1732" s="107">
        <v>2</v>
      </c>
      <c r="B1732" s="1323" t="s">
        <v>1012</v>
      </c>
      <c r="C1732" t="s">
        <v>444</v>
      </c>
      <c r="D1732" s="648">
        <v>0</v>
      </c>
    </row>
    <row r="1733" spans="1:4">
      <c r="A1733" s="107">
        <v>2</v>
      </c>
      <c r="B1733" s="1324"/>
      <c r="C1733" t="s">
        <v>445</v>
      </c>
      <c r="D1733" s="648">
        <v>0</v>
      </c>
    </row>
    <row r="1734" spans="1:4">
      <c r="A1734" s="107">
        <v>2</v>
      </c>
      <c r="B1734" s="1324"/>
      <c r="C1734" t="s">
        <v>446</v>
      </c>
      <c r="D1734" s="648">
        <v>40815.199999999997</v>
      </c>
    </row>
    <row r="1735" spans="1:4">
      <c r="A1735" s="107">
        <v>2</v>
      </c>
      <c r="B1735" s="1324"/>
      <c r="C1735" t="s">
        <v>1253</v>
      </c>
      <c r="D1735" s="648">
        <v>0</v>
      </c>
    </row>
    <row r="1736" spans="1:4" ht="12.75" customHeight="1">
      <c r="A1736" s="107">
        <v>2</v>
      </c>
      <c r="B1736" s="1324"/>
      <c r="C1736" t="s">
        <v>421</v>
      </c>
      <c r="D1736" s="648">
        <v>0</v>
      </c>
    </row>
    <row r="1737" spans="1:4" ht="12.75" customHeight="1">
      <c r="A1737" s="107">
        <v>7</v>
      </c>
      <c r="B1737" s="1323" t="s">
        <v>1013</v>
      </c>
      <c r="C1737" t="s">
        <v>444</v>
      </c>
      <c r="D1737" s="648">
        <v>0</v>
      </c>
    </row>
    <row r="1738" spans="1:4">
      <c r="A1738" s="107">
        <v>7</v>
      </c>
      <c r="B1738" s="1324"/>
      <c r="C1738" t="s">
        <v>445</v>
      </c>
      <c r="D1738" s="648">
        <v>0</v>
      </c>
    </row>
    <row r="1739" spans="1:4">
      <c r="A1739" s="107">
        <v>7</v>
      </c>
      <c r="B1739" s="1324"/>
      <c r="C1739" t="s">
        <v>446</v>
      </c>
      <c r="D1739" s="648">
        <v>6792.1</v>
      </c>
    </row>
    <row r="1740" spans="1:4">
      <c r="A1740" s="107">
        <v>7</v>
      </c>
      <c r="B1740" s="1324"/>
      <c r="C1740" t="s">
        <v>1253</v>
      </c>
      <c r="D1740" s="648">
        <v>0</v>
      </c>
    </row>
    <row r="1741" spans="1:4" ht="12.75" customHeight="1">
      <c r="A1741" s="107">
        <v>7</v>
      </c>
      <c r="B1741" s="1324"/>
      <c r="C1741" t="s">
        <v>421</v>
      </c>
      <c r="D1741" s="648">
        <v>0</v>
      </c>
    </row>
    <row r="1742" spans="1:4" ht="12.75" customHeight="1">
      <c r="A1742" s="107">
        <v>2</v>
      </c>
      <c r="B1742" s="1323" t="s">
        <v>1014</v>
      </c>
      <c r="C1742" t="s">
        <v>444</v>
      </c>
      <c r="D1742" s="648">
        <v>0</v>
      </c>
    </row>
    <row r="1743" spans="1:4">
      <c r="A1743" s="107">
        <v>2</v>
      </c>
      <c r="B1743" s="1324"/>
      <c r="C1743" t="s">
        <v>445</v>
      </c>
      <c r="D1743" s="648">
        <v>0</v>
      </c>
    </row>
    <row r="1744" spans="1:4">
      <c r="A1744" s="107">
        <v>2</v>
      </c>
      <c r="B1744" s="1324"/>
      <c r="C1744" t="s">
        <v>446</v>
      </c>
      <c r="D1744" s="648">
        <v>446609.7</v>
      </c>
    </row>
    <row r="1745" spans="1:4">
      <c r="A1745" s="107">
        <v>2</v>
      </c>
      <c r="B1745" s="1324"/>
      <c r="C1745" t="s">
        <v>1253</v>
      </c>
      <c r="D1745" s="648">
        <v>0</v>
      </c>
    </row>
    <row r="1746" spans="1:4" ht="12.75" customHeight="1">
      <c r="A1746" s="107">
        <v>2</v>
      </c>
      <c r="B1746" s="1324"/>
      <c r="C1746" t="s">
        <v>421</v>
      </c>
      <c r="D1746" s="648">
        <v>0</v>
      </c>
    </row>
    <row r="1747" spans="1:4" ht="12.75" customHeight="1">
      <c r="A1747" s="107">
        <v>2</v>
      </c>
      <c r="B1747" s="1323" t="s">
        <v>1015</v>
      </c>
      <c r="C1747" t="s">
        <v>444</v>
      </c>
      <c r="D1747" s="648">
        <v>0</v>
      </c>
    </row>
    <row r="1748" spans="1:4">
      <c r="A1748" s="107">
        <v>2</v>
      </c>
      <c r="B1748" s="1324"/>
      <c r="C1748" t="s">
        <v>445</v>
      </c>
      <c r="D1748" s="648">
        <v>0</v>
      </c>
    </row>
    <row r="1749" spans="1:4">
      <c r="A1749" s="107">
        <v>2</v>
      </c>
      <c r="B1749" s="1324"/>
      <c r="C1749" t="s">
        <v>446</v>
      </c>
      <c r="D1749" s="648">
        <v>47305.7</v>
      </c>
    </row>
    <row r="1750" spans="1:4">
      <c r="A1750" s="107">
        <v>2</v>
      </c>
      <c r="B1750" s="1324"/>
      <c r="C1750" t="s">
        <v>1253</v>
      </c>
      <c r="D1750" s="648">
        <v>0</v>
      </c>
    </row>
    <row r="1751" spans="1:4" ht="12.75" customHeight="1">
      <c r="A1751" s="107">
        <v>2</v>
      </c>
      <c r="B1751" s="1324"/>
      <c r="C1751" t="s">
        <v>421</v>
      </c>
      <c r="D1751" s="648">
        <v>0</v>
      </c>
    </row>
    <row r="1752" spans="1:4" ht="12.75" customHeight="1">
      <c r="A1752" s="107">
        <v>2</v>
      </c>
      <c r="B1752" s="1324" t="s">
        <v>2147</v>
      </c>
      <c r="C1752" t="s">
        <v>444</v>
      </c>
      <c r="D1752" s="648">
        <v>0</v>
      </c>
    </row>
    <row r="1753" spans="1:4" ht="12.75" customHeight="1">
      <c r="A1753" s="107">
        <v>2</v>
      </c>
      <c r="B1753" s="1324"/>
      <c r="C1753" t="s">
        <v>445</v>
      </c>
      <c r="D1753" s="648">
        <v>0</v>
      </c>
    </row>
    <row r="1754" spans="1:4" ht="12.75" customHeight="1">
      <c r="A1754" s="107">
        <v>2</v>
      </c>
      <c r="B1754" s="1324"/>
      <c r="C1754" t="s">
        <v>446</v>
      </c>
      <c r="D1754" s="648">
        <v>5347.5</v>
      </c>
    </row>
    <row r="1755" spans="1:4" ht="12.75" customHeight="1">
      <c r="A1755" s="107">
        <v>2</v>
      </c>
      <c r="B1755" s="1324"/>
      <c r="C1755" t="s">
        <v>1253</v>
      </c>
      <c r="D1755" s="648">
        <v>0</v>
      </c>
    </row>
    <row r="1756" spans="1:4" ht="12.75" customHeight="1">
      <c r="A1756" s="107">
        <v>2</v>
      </c>
      <c r="B1756" s="1324"/>
      <c r="C1756" t="s">
        <v>421</v>
      </c>
      <c r="D1756" s="648">
        <v>0</v>
      </c>
    </row>
    <row r="1757" spans="1:4" ht="12.75" customHeight="1">
      <c r="A1757" s="107">
        <v>2</v>
      </c>
      <c r="B1757" s="1324" t="s">
        <v>1139</v>
      </c>
      <c r="C1757" t="s">
        <v>444</v>
      </c>
      <c r="D1757" s="648">
        <v>0</v>
      </c>
    </row>
    <row r="1758" spans="1:4" ht="12.75" customHeight="1">
      <c r="A1758" s="107">
        <v>2</v>
      </c>
      <c r="B1758" s="1324"/>
      <c r="C1758" t="s">
        <v>445</v>
      </c>
      <c r="D1758" s="648">
        <v>0</v>
      </c>
    </row>
    <row r="1759" spans="1:4" ht="12.75" customHeight="1">
      <c r="A1759" s="107">
        <v>2</v>
      </c>
      <c r="B1759" s="1324"/>
      <c r="C1759" t="s">
        <v>446</v>
      </c>
      <c r="D1759" s="648">
        <v>30266.6</v>
      </c>
    </row>
    <row r="1760" spans="1:4" ht="12.75" customHeight="1">
      <c r="A1760" s="107">
        <v>2</v>
      </c>
      <c r="B1760" s="1324"/>
      <c r="C1760" t="s">
        <v>1253</v>
      </c>
      <c r="D1760" s="648">
        <v>0</v>
      </c>
    </row>
    <row r="1761" spans="1:4" ht="12.75" customHeight="1">
      <c r="A1761" s="107">
        <v>2</v>
      </c>
      <c r="B1761" s="1325"/>
      <c r="C1761" t="s">
        <v>421</v>
      </c>
      <c r="D1761" s="648">
        <v>0</v>
      </c>
    </row>
    <row r="1762" spans="1:4" s="645" customFormat="1" ht="12.75" customHeight="1">
      <c r="A1762" s="644">
        <v>2</v>
      </c>
      <c r="B1762" s="1323" t="s">
        <v>1016</v>
      </c>
      <c r="C1762" s="645" t="s">
        <v>444</v>
      </c>
      <c r="D1762" s="648">
        <v>0</v>
      </c>
    </row>
    <row r="1763" spans="1:4">
      <c r="A1763" s="107">
        <v>2</v>
      </c>
      <c r="B1763" s="1324"/>
      <c r="C1763" t="s">
        <v>445</v>
      </c>
      <c r="D1763" s="648">
        <v>0</v>
      </c>
    </row>
    <row r="1764" spans="1:4">
      <c r="A1764" s="107">
        <v>2</v>
      </c>
      <c r="B1764" s="1324"/>
      <c r="C1764" t="s">
        <v>446</v>
      </c>
      <c r="D1764" s="648">
        <v>47902.7</v>
      </c>
    </row>
    <row r="1765" spans="1:4">
      <c r="A1765" s="107">
        <v>2</v>
      </c>
      <c r="B1765" s="1324"/>
      <c r="C1765" t="s">
        <v>1253</v>
      </c>
      <c r="D1765" s="648">
        <v>0</v>
      </c>
    </row>
    <row r="1766" spans="1:4" ht="12.75" customHeight="1">
      <c r="A1766" s="107">
        <v>2</v>
      </c>
      <c r="B1766" s="1324"/>
      <c r="C1766" t="s">
        <v>421</v>
      </c>
      <c r="D1766" s="648">
        <v>0</v>
      </c>
    </row>
    <row r="1767" spans="1:4" ht="12.75" customHeight="1">
      <c r="A1767" s="107">
        <v>2</v>
      </c>
      <c r="B1767" s="1323" t="s">
        <v>1017</v>
      </c>
      <c r="C1767" t="s">
        <v>444</v>
      </c>
      <c r="D1767" s="648">
        <v>0</v>
      </c>
    </row>
    <row r="1768" spans="1:4">
      <c r="A1768" s="107">
        <v>2</v>
      </c>
      <c r="B1768" s="1324"/>
      <c r="C1768" t="s">
        <v>445</v>
      </c>
      <c r="D1768" s="648">
        <v>0</v>
      </c>
    </row>
    <row r="1769" spans="1:4">
      <c r="A1769" s="107">
        <v>2</v>
      </c>
      <c r="B1769" s="1324"/>
      <c r="C1769" t="s">
        <v>446</v>
      </c>
      <c r="D1769" s="648">
        <v>78803.199999999997</v>
      </c>
    </row>
    <row r="1770" spans="1:4">
      <c r="A1770" s="107">
        <v>2</v>
      </c>
      <c r="B1770" s="1324"/>
      <c r="C1770" t="s">
        <v>1253</v>
      </c>
      <c r="D1770" s="648">
        <v>0</v>
      </c>
    </row>
    <row r="1771" spans="1:4" ht="12.75" customHeight="1">
      <c r="A1771" s="107">
        <v>2</v>
      </c>
      <c r="B1771" s="1324"/>
      <c r="C1771" t="s">
        <v>421</v>
      </c>
      <c r="D1771" s="648">
        <v>0</v>
      </c>
    </row>
    <row r="1772" spans="1:4" ht="12.75" customHeight="1">
      <c r="A1772" s="107">
        <v>2</v>
      </c>
      <c r="B1772" s="1323" t="s">
        <v>1018</v>
      </c>
      <c r="C1772" t="s">
        <v>444</v>
      </c>
      <c r="D1772" s="648">
        <v>0</v>
      </c>
    </row>
    <row r="1773" spans="1:4">
      <c r="A1773" s="107">
        <v>2</v>
      </c>
      <c r="B1773" s="1324"/>
      <c r="C1773" t="s">
        <v>445</v>
      </c>
      <c r="D1773" s="648">
        <v>0</v>
      </c>
    </row>
    <row r="1774" spans="1:4">
      <c r="A1774" s="107">
        <v>2</v>
      </c>
      <c r="B1774" s="1324"/>
      <c r="C1774" t="s">
        <v>446</v>
      </c>
      <c r="D1774" s="648">
        <v>44910.5</v>
      </c>
    </row>
    <row r="1775" spans="1:4">
      <c r="A1775" s="107">
        <v>2</v>
      </c>
      <c r="B1775" s="1324"/>
      <c r="C1775" t="s">
        <v>1253</v>
      </c>
      <c r="D1775" s="648">
        <v>0</v>
      </c>
    </row>
    <row r="1776" spans="1:4">
      <c r="A1776" s="107">
        <v>2</v>
      </c>
      <c r="B1776" s="1324"/>
      <c r="C1776" t="s">
        <v>421</v>
      </c>
      <c r="D1776" s="648">
        <v>0</v>
      </c>
    </row>
    <row r="1777" spans="1:4">
      <c r="A1777" s="107">
        <v>2</v>
      </c>
      <c r="B1777" s="1323" t="s">
        <v>1019</v>
      </c>
      <c r="C1777" t="s">
        <v>444</v>
      </c>
      <c r="D1777" s="648">
        <v>0</v>
      </c>
    </row>
    <row r="1778" spans="1:4">
      <c r="A1778" s="107">
        <v>2</v>
      </c>
      <c r="B1778" s="1324"/>
      <c r="C1778" t="s">
        <v>445</v>
      </c>
      <c r="D1778" s="648">
        <v>0</v>
      </c>
    </row>
    <row r="1779" spans="1:4">
      <c r="A1779" s="107">
        <v>2</v>
      </c>
      <c r="B1779" s="1324"/>
      <c r="C1779" t="s">
        <v>446</v>
      </c>
      <c r="D1779" s="648">
        <v>91873.4</v>
      </c>
    </row>
    <row r="1780" spans="1:4">
      <c r="A1780" s="107">
        <v>2</v>
      </c>
      <c r="B1780" s="1324"/>
      <c r="C1780" t="s">
        <v>1253</v>
      </c>
      <c r="D1780" s="648">
        <v>0</v>
      </c>
    </row>
    <row r="1781" spans="1:4" ht="12.75" customHeight="1">
      <c r="A1781" s="107">
        <v>2</v>
      </c>
      <c r="B1781" s="1324"/>
      <c r="C1781" t="s">
        <v>421</v>
      </c>
      <c r="D1781" s="648">
        <v>0</v>
      </c>
    </row>
    <row r="1782" spans="1:4" ht="12.75" customHeight="1">
      <c r="A1782" s="107">
        <v>2</v>
      </c>
      <c r="B1782" s="1323" t="s">
        <v>1020</v>
      </c>
      <c r="C1782" t="s">
        <v>444</v>
      </c>
      <c r="D1782" s="648">
        <v>0</v>
      </c>
    </row>
    <row r="1783" spans="1:4">
      <c r="A1783" s="107">
        <v>2</v>
      </c>
      <c r="B1783" s="1324"/>
      <c r="C1783" t="s">
        <v>445</v>
      </c>
      <c r="D1783" s="648">
        <v>0</v>
      </c>
    </row>
    <row r="1784" spans="1:4">
      <c r="A1784" s="107">
        <v>2</v>
      </c>
      <c r="B1784" s="1324"/>
      <c r="C1784" t="s">
        <v>446</v>
      </c>
      <c r="D1784" s="648">
        <v>25481.9</v>
      </c>
    </row>
    <row r="1785" spans="1:4">
      <c r="A1785" s="107">
        <v>2</v>
      </c>
      <c r="B1785" s="1324"/>
      <c r="C1785" t="s">
        <v>1253</v>
      </c>
      <c r="D1785" s="648">
        <v>0</v>
      </c>
    </row>
    <row r="1786" spans="1:4" ht="12.75" customHeight="1">
      <c r="A1786" s="107">
        <v>2</v>
      </c>
      <c r="B1786" s="1324"/>
      <c r="C1786" t="s">
        <v>421</v>
      </c>
      <c r="D1786" s="648">
        <v>0</v>
      </c>
    </row>
    <row r="1787" spans="1:4" ht="12.75" customHeight="1">
      <c r="A1787" s="107">
        <v>2</v>
      </c>
      <c r="B1787" s="1323" t="s">
        <v>1021</v>
      </c>
      <c r="C1787" t="s">
        <v>444</v>
      </c>
      <c r="D1787" s="648">
        <v>0</v>
      </c>
    </row>
    <row r="1788" spans="1:4">
      <c r="A1788" s="107">
        <v>2</v>
      </c>
      <c r="B1788" s="1324"/>
      <c r="C1788" t="s">
        <v>445</v>
      </c>
      <c r="D1788" s="648">
        <v>0</v>
      </c>
    </row>
    <row r="1789" spans="1:4">
      <c r="A1789" s="107">
        <v>2</v>
      </c>
      <c r="B1789" s="1324"/>
      <c r="C1789" t="s">
        <v>446</v>
      </c>
      <c r="D1789" s="648">
        <v>25599</v>
      </c>
    </row>
    <row r="1790" spans="1:4">
      <c r="A1790" s="107">
        <v>2</v>
      </c>
      <c r="B1790" s="1324"/>
      <c r="C1790" t="s">
        <v>1253</v>
      </c>
      <c r="D1790" s="648">
        <v>0</v>
      </c>
    </row>
    <row r="1791" spans="1:4">
      <c r="A1791" s="107">
        <v>2</v>
      </c>
      <c r="B1791" s="1325"/>
      <c r="C1791" t="s">
        <v>421</v>
      </c>
      <c r="D1791" s="648">
        <v>0</v>
      </c>
    </row>
    <row r="1792" spans="1:4">
      <c r="A1792" s="107">
        <v>1</v>
      </c>
      <c r="B1792" s="1323" t="s">
        <v>1022</v>
      </c>
      <c r="C1792" t="s">
        <v>444</v>
      </c>
      <c r="D1792" s="648">
        <v>693578</v>
      </c>
    </row>
    <row r="1793" spans="1:4">
      <c r="A1793" s="107">
        <v>1</v>
      </c>
      <c r="B1793" s="1324"/>
      <c r="C1793" t="s">
        <v>445</v>
      </c>
      <c r="D1793" s="648">
        <v>87299</v>
      </c>
    </row>
    <row r="1794" spans="1:4">
      <c r="A1794" s="107">
        <v>1</v>
      </c>
      <c r="B1794" s="1324"/>
      <c r="C1794" t="s">
        <v>446</v>
      </c>
      <c r="D1794" s="648">
        <v>94265</v>
      </c>
    </row>
    <row r="1795" spans="1:4">
      <c r="A1795" s="107">
        <v>1</v>
      </c>
      <c r="B1795" s="1324"/>
      <c r="C1795" t="s">
        <v>1253</v>
      </c>
      <c r="D1795" s="648">
        <v>0</v>
      </c>
    </row>
    <row r="1796" spans="1:4" ht="12.75" customHeight="1">
      <c r="A1796" s="107">
        <v>1</v>
      </c>
      <c r="B1796" s="1324"/>
      <c r="C1796" t="s">
        <v>421</v>
      </c>
      <c r="D1796" s="648">
        <v>0</v>
      </c>
    </row>
    <row r="1797" spans="1:4" ht="12.75" customHeight="1">
      <c r="A1797" s="107">
        <v>2</v>
      </c>
      <c r="B1797" s="1323" t="s">
        <v>1023</v>
      </c>
      <c r="C1797" t="s">
        <v>444</v>
      </c>
      <c r="D1797" s="648">
        <v>0</v>
      </c>
    </row>
    <row r="1798" spans="1:4">
      <c r="A1798" s="107">
        <v>2</v>
      </c>
      <c r="B1798" s="1324"/>
      <c r="C1798" t="s">
        <v>445</v>
      </c>
      <c r="D1798" s="648">
        <v>0</v>
      </c>
    </row>
    <row r="1799" spans="1:4">
      <c r="A1799" s="107">
        <v>2</v>
      </c>
      <c r="B1799" s="1324"/>
      <c r="C1799" t="s">
        <v>446</v>
      </c>
      <c r="D1799" s="648">
        <v>18227.400000000001</v>
      </c>
    </row>
    <row r="1800" spans="1:4">
      <c r="A1800" s="107">
        <v>2</v>
      </c>
      <c r="B1800" s="1324"/>
      <c r="C1800" t="s">
        <v>1253</v>
      </c>
      <c r="D1800" s="648">
        <v>0</v>
      </c>
    </row>
    <row r="1801" spans="1:4" ht="12.75" customHeight="1">
      <c r="A1801" s="107">
        <v>2</v>
      </c>
      <c r="B1801" s="1324"/>
      <c r="C1801" t="s">
        <v>421</v>
      </c>
      <c r="D1801" s="648">
        <v>0</v>
      </c>
    </row>
    <row r="1802" spans="1:4" ht="12.75" customHeight="1">
      <c r="A1802" s="107">
        <v>1</v>
      </c>
      <c r="B1802" s="1323" t="s">
        <v>1024</v>
      </c>
      <c r="C1802" t="s">
        <v>444</v>
      </c>
      <c r="D1802" s="648">
        <v>14861</v>
      </c>
    </row>
    <row r="1803" spans="1:4">
      <c r="A1803" s="107">
        <v>1</v>
      </c>
      <c r="B1803" s="1324"/>
      <c r="C1803" t="s">
        <v>445</v>
      </c>
      <c r="D1803" s="648">
        <v>0</v>
      </c>
    </row>
    <row r="1804" spans="1:4">
      <c r="A1804" s="107">
        <v>1</v>
      </c>
      <c r="B1804" s="1324"/>
      <c r="C1804" t="s">
        <v>446</v>
      </c>
      <c r="D1804" s="648">
        <v>486.8</v>
      </c>
    </row>
    <row r="1805" spans="1:4">
      <c r="A1805" s="107">
        <v>1</v>
      </c>
      <c r="B1805" s="1324"/>
      <c r="C1805" t="s">
        <v>1253</v>
      </c>
      <c r="D1805" s="648">
        <v>0</v>
      </c>
    </row>
    <row r="1806" spans="1:4" ht="12.75" customHeight="1">
      <c r="A1806" s="107">
        <v>1</v>
      </c>
      <c r="B1806" s="1324"/>
      <c r="C1806" t="s">
        <v>421</v>
      </c>
      <c r="D1806" s="648">
        <v>0</v>
      </c>
    </row>
    <row r="1807" spans="1:4" ht="12.75" customHeight="1">
      <c r="A1807" s="107">
        <v>2</v>
      </c>
      <c r="B1807" s="1323" t="s">
        <v>1025</v>
      </c>
      <c r="C1807" t="s">
        <v>444</v>
      </c>
      <c r="D1807" s="648">
        <v>0</v>
      </c>
    </row>
    <row r="1808" spans="1:4">
      <c r="A1808" s="107">
        <v>2</v>
      </c>
      <c r="B1808" s="1324"/>
      <c r="C1808" t="s">
        <v>445</v>
      </c>
      <c r="D1808" s="648">
        <v>0</v>
      </c>
    </row>
    <row r="1809" spans="1:4">
      <c r="A1809" s="107">
        <v>2</v>
      </c>
      <c r="B1809" s="1324"/>
      <c r="C1809" t="s">
        <v>446</v>
      </c>
      <c r="D1809" s="648">
        <v>5126.1000000000004</v>
      </c>
    </row>
    <row r="1810" spans="1:4">
      <c r="A1810" s="107">
        <v>2</v>
      </c>
      <c r="B1810" s="1324"/>
      <c r="C1810" t="s">
        <v>1253</v>
      </c>
      <c r="D1810" s="648">
        <v>0</v>
      </c>
    </row>
    <row r="1811" spans="1:4">
      <c r="A1811" s="107">
        <v>2</v>
      </c>
      <c r="B1811" s="1324"/>
      <c r="C1811" t="s">
        <v>421</v>
      </c>
      <c r="D1811" s="648">
        <v>0</v>
      </c>
    </row>
    <row r="1812" spans="1:4">
      <c r="A1812" s="107">
        <v>2</v>
      </c>
      <c r="B1812" s="1323" t="s">
        <v>1026</v>
      </c>
      <c r="C1812" t="s">
        <v>444</v>
      </c>
      <c r="D1812" s="648">
        <v>0</v>
      </c>
    </row>
    <row r="1813" spans="1:4">
      <c r="A1813" s="107">
        <v>2</v>
      </c>
      <c r="B1813" s="1324"/>
      <c r="C1813" t="s">
        <v>445</v>
      </c>
      <c r="D1813" s="648">
        <v>0</v>
      </c>
    </row>
    <row r="1814" spans="1:4">
      <c r="A1814" s="107">
        <v>2</v>
      </c>
      <c r="B1814" s="1324"/>
      <c r="C1814" t="s">
        <v>446</v>
      </c>
      <c r="D1814" s="648">
        <v>22932.2</v>
      </c>
    </row>
    <row r="1815" spans="1:4">
      <c r="A1815" s="107">
        <v>2</v>
      </c>
      <c r="B1815" s="1324"/>
      <c r="C1815" t="s">
        <v>1253</v>
      </c>
      <c r="D1815" s="648">
        <v>0</v>
      </c>
    </row>
    <row r="1816" spans="1:4" ht="12.75" customHeight="1">
      <c r="A1816" s="107">
        <v>2</v>
      </c>
      <c r="B1816" s="1324"/>
      <c r="C1816" t="s">
        <v>421</v>
      </c>
      <c r="D1816" s="648">
        <v>0</v>
      </c>
    </row>
    <row r="1817" spans="1:4" ht="12.75" customHeight="1">
      <c r="A1817" s="107">
        <v>1</v>
      </c>
      <c r="B1817" s="1323" t="s">
        <v>1027</v>
      </c>
      <c r="C1817" t="s">
        <v>444</v>
      </c>
      <c r="D1817" s="648">
        <v>767882.4</v>
      </c>
    </row>
    <row r="1818" spans="1:4">
      <c r="A1818" s="107">
        <v>1</v>
      </c>
      <c r="B1818" s="1324"/>
      <c r="C1818" t="s">
        <v>445</v>
      </c>
      <c r="D1818" s="648">
        <v>115275.7</v>
      </c>
    </row>
    <row r="1819" spans="1:4">
      <c r="A1819" s="107">
        <v>1</v>
      </c>
      <c r="B1819" s="1324"/>
      <c r="C1819" t="s">
        <v>446</v>
      </c>
      <c r="D1819" s="648">
        <v>111167.1</v>
      </c>
    </row>
    <row r="1820" spans="1:4">
      <c r="A1820" s="107">
        <v>1</v>
      </c>
      <c r="B1820" s="1324"/>
      <c r="C1820" t="s">
        <v>1253</v>
      </c>
      <c r="D1820" s="648">
        <v>0</v>
      </c>
    </row>
    <row r="1821" spans="1:4" ht="12.75" customHeight="1">
      <c r="A1821" s="107">
        <v>1</v>
      </c>
      <c r="B1821" s="1324"/>
      <c r="C1821" t="s">
        <v>421</v>
      </c>
      <c r="D1821" s="648">
        <v>26285.4</v>
      </c>
    </row>
    <row r="1822" spans="1:4" ht="12.75" customHeight="1">
      <c r="A1822" s="107">
        <v>4</v>
      </c>
      <c r="B1822" s="1323" t="s">
        <v>1030</v>
      </c>
      <c r="C1822" t="s">
        <v>444</v>
      </c>
      <c r="D1822" s="648">
        <v>422246.8</v>
      </c>
    </row>
    <row r="1823" spans="1:4">
      <c r="A1823" s="107">
        <v>4</v>
      </c>
      <c r="B1823" s="1324"/>
      <c r="C1823" t="s">
        <v>445</v>
      </c>
      <c r="D1823" s="648">
        <v>0</v>
      </c>
    </row>
    <row r="1824" spans="1:4">
      <c r="A1824" s="107">
        <v>4</v>
      </c>
      <c r="B1824" s="1324"/>
      <c r="C1824" t="s">
        <v>446</v>
      </c>
      <c r="D1824" s="648">
        <v>30445.7</v>
      </c>
    </row>
    <row r="1825" spans="1:4">
      <c r="A1825" s="107">
        <v>4</v>
      </c>
      <c r="B1825" s="1324"/>
      <c r="C1825" t="s">
        <v>1253</v>
      </c>
      <c r="D1825" s="648">
        <v>0</v>
      </c>
    </row>
    <row r="1826" spans="1:4">
      <c r="A1826" s="107">
        <v>4</v>
      </c>
      <c r="B1826" s="1324"/>
      <c r="C1826" t="s">
        <v>421</v>
      </c>
      <c r="D1826" s="648">
        <v>0</v>
      </c>
    </row>
    <row r="1827" spans="1:4">
      <c r="A1827" s="107">
        <v>2</v>
      </c>
      <c r="B1827" s="1323" t="s">
        <v>1031</v>
      </c>
      <c r="C1827" t="s">
        <v>444</v>
      </c>
      <c r="D1827" s="648">
        <v>0</v>
      </c>
    </row>
    <row r="1828" spans="1:4">
      <c r="A1828" s="107">
        <v>2</v>
      </c>
      <c r="B1828" s="1324"/>
      <c r="C1828" t="s">
        <v>445</v>
      </c>
      <c r="D1828" s="648">
        <v>0</v>
      </c>
    </row>
    <row r="1829" spans="1:4">
      <c r="A1829" s="107">
        <v>2</v>
      </c>
      <c r="B1829" s="1324"/>
      <c r="C1829" t="s">
        <v>446</v>
      </c>
      <c r="D1829" s="648">
        <v>33135</v>
      </c>
    </row>
    <row r="1830" spans="1:4">
      <c r="A1830" s="107">
        <v>2</v>
      </c>
      <c r="B1830" s="1324"/>
      <c r="C1830" t="s">
        <v>1253</v>
      </c>
      <c r="D1830" s="648">
        <v>0</v>
      </c>
    </row>
    <row r="1831" spans="1:4" ht="12.75" customHeight="1">
      <c r="A1831" s="107">
        <v>2</v>
      </c>
      <c r="B1831" s="1324"/>
      <c r="C1831" t="s">
        <v>421</v>
      </c>
      <c r="D1831" s="648">
        <v>0</v>
      </c>
    </row>
    <row r="1832" spans="1:4" ht="12.75" customHeight="1">
      <c r="A1832" s="107">
        <v>2</v>
      </c>
      <c r="B1832" s="1323" t="s">
        <v>1032</v>
      </c>
      <c r="C1832" t="s">
        <v>444</v>
      </c>
      <c r="D1832" s="648">
        <v>0</v>
      </c>
    </row>
    <row r="1833" spans="1:4">
      <c r="A1833" s="107">
        <v>2</v>
      </c>
      <c r="B1833" s="1324"/>
      <c r="C1833" t="s">
        <v>445</v>
      </c>
      <c r="D1833" s="648">
        <v>0</v>
      </c>
    </row>
    <row r="1834" spans="1:4">
      <c r="A1834" s="107">
        <v>2</v>
      </c>
      <c r="B1834" s="1324"/>
      <c r="C1834" t="s">
        <v>446</v>
      </c>
      <c r="D1834" s="648">
        <v>3091.2</v>
      </c>
    </row>
    <row r="1835" spans="1:4">
      <c r="A1835" s="107">
        <v>2</v>
      </c>
      <c r="B1835" s="1324"/>
      <c r="C1835" t="s">
        <v>1253</v>
      </c>
      <c r="D1835" s="648">
        <v>0</v>
      </c>
    </row>
    <row r="1836" spans="1:4" ht="12.75" customHeight="1">
      <c r="A1836" s="107">
        <v>2</v>
      </c>
      <c r="B1836" s="1324"/>
      <c r="C1836" t="s">
        <v>421</v>
      </c>
      <c r="D1836" s="648">
        <v>0</v>
      </c>
    </row>
    <row r="1837" spans="1:4" ht="12.75" customHeight="1">
      <c r="A1837" s="107">
        <v>2</v>
      </c>
      <c r="B1837" s="1323" t="s">
        <v>1033</v>
      </c>
      <c r="C1837" t="s">
        <v>444</v>
      </c>
      <c r="D1837" s="648">
        <v>0</v>
      </c>
    </row>
    <row r="1838" spans="1:4">
      <c r="A1838" s="107">
        <v>2</v>
      </c>
      <c r="B1838" s="1324"/>
      <c r="C1838" t="s">
        <v>445</v>
      </c>
      <c r="D1838" s="648">
        <v>0</v>
      </c>
    </row>
    <row r="1839" spans="1:4">
      <c r="A1839" s="107">
        <v>2</v>
      </c>
      <c r="B1839" s="1324"/>
      <c r="C1839" t="s">
        <v>446</v>
      </c>
      <c r="D1839" s="648">
        <v>118069.9</v>
      </c>
    </row>
    <row r="1840" spans="1:4">
      <c r="A1840" s="107">
        <v>2</v>
      </c>
      <c r="B1840" s="1324"/>
      <c r="C1840" t="s">
        <v>1253</v>
      </c>
      <c r="D1840" s="648">
        <v>0</v>
      </c>
    </row>
    <row r="1841" spans="1:4" ht="12.75" customHeight="1">
      <c r="A1841" s="107">
        <v>2</v>
      </c>
      <c r="B1841" s="1324"/>
      <c r="C1841" t="s">
        <v>421</v>
      </c>
      <c r="D1841" s="648">
        <v>0</v>
      </c>
    </row>
    <row r="1842" spans="1:4" ht="12.75" customHeight="1">
      <c r="A1842" s="107">
        <v>1</v>
      </c>
      <c r="B1842" s="1323" t="s">
        <v>1034</v>
      </c>
      <c r="C1842" t="s">
        <v>444</v>
      </c>
      <c r="D1842" s="648">
        <v>736050</v>
      </c>
    </row>
    <row r="1843" spans="1:4">
      <c r="A1843" s="107">
        <v>1</v>
      </c>
      <c r="B1843" s="1324"/>
      <c r="C1843" t="s">
        <v>445</v>
      </c>
      <c r="D1843" s="648">
        <v>1297582.2</v>
      </c>
    </row>
    <row r="1844" spans="1:4">
      <c r="A1844" s="107">
        <v>1</v>
      </c>
      <c r="B1844" s="1324"/>
      <c r="C1844" t="s">
        <v>446</v>
      </c>
      <c r="D1844" s="648">
        <v>260010</v>
      </c>
    </row>
    <row r="1845" spans="1:4">
      <c r="A1845" s="107">
        <v>1</v>
      </c>
      <c r="B1845" s="1324"/>
      <c r="C1845" t="s">
        <v>1253</v>
      </c>
      <c r="D1845" s="648">
        <v>0</v>
      </c>
    </row>
    <row r="1846" spans="1:4" ht="12.75" customHeight="1">
      <c r="A1846" s="107">
        <v>1</v>
      </c>
      <c r="B1846" s="1324"/>
      <c r="C1846" t="s">
        <v>421</v>
      </c>
      <c r="D1846" s="648">
        <v>1950.8</v>
      </c>
    </row>
    <row r="1847" spans="1:4" ht="12.75" customHeight="1">
      <c r="A1847" s="107">
        <v>1</v>
      </c>
      <c r="B1847" s="1323" t="s">
        <v>1035</v>
      </c>
      <c r="C1847" t="s">
        <v>444</v>
      </c>
      <c r="D1847" s="648">
        <v>256347.1</v>
      </c>
    </row>
    <row r="1848" spans="1:4">
      <c r="A1848" s="107">
        <v>1</v>
      </c>
      <c r="B1848" s="1324"/>
      <c r="C1848" t="s">
        <v>445</v>
      </c>
      <c r="D1848" s="648">
        <v>0</v>
      </c>
    </row>
    <row r="1849" spans="1:4">
      <c r="A1849" s="107">
        <v>1</v>
      </c>
      <c r="B1849" s="1324"/>
      <c r="C1849" t="s">
        <v>446</v>
      </c>
      <c r="D1849" s="648">
        <v>47492.1</v>
      </c>
    </row>
    <row r="1850" spans="1:4">
      <c r="A1850" s="107">
        <v>1</v>
      </c>
      <c r="B1850" s="1324"/>
      <c r="C1850" t="s">
        <v>1253</v>
      </c>
      <c r="D1850" s="648">
        <v>0</v>
      </c>
    </row>
    <row r="1851" spans="1:4" ht="12.75" customHeight="1">
      <c r="A1851" s="107">
        <v>1</v>
      </c>
      <c r="B1851" s="1324"/>
      <c r="C1851" t="s">
        <v>421</v>
      </c>
      <c r="D1851" s="648">
        <v>0</v>
      </c>
    </row>
    <row r="1852" spans="1:4" ht="12.75" customHeight="1">
      <c r="A1852" s="107">
        <v>2</v>
      </c>
      <c r="B1852" s="1323" t="s">
        <v>1036</v>
      </c>
      <c r="C1852" t="s">
        <v>444</v>
      </c>
      <c r="D1852" s="648">
        <v>0</v>
      </c>
    </row>
    <row r="1853" spans="1:4">
      <c r="A1853" s="107">
        <v>2</v>
      </c>
      <c r="B1853" s="1324"/>
      <c r="C1853" t="s">
        <v>445</v>
      </c>
      <c r="D1853" s="648">
        <v>0</v>
      </c>
    </row>
    <row r="1854" spans="1:4">
      <c r="A1854" s="107">
        <v>2</v>
      </c>
      <c r="B1854" s="1324"/>
      <c r="C1854" t="s">
        <v>446</v>
      </c>
      <c r="D1854" s="648">
        <v>41782.800000000003</v>
      </c>
    </row>
    <row r="1855" spans="1:4">
      <c r="A1855" s="107">
        <v>2</v>
      </c>
      <c r="B1855" s="1324"/>
      <c r="C1855" t="s">
        <v>1253</v>
      </c>
      <c r="D1855" s="648">
        <v>0</v>
      </c>
    </row>
    <row r="1856" spans="1:4">
      <c r="A1856" s="107">
        <v>2</v>
      </c>
      <c r="B1856" s="1324"/>
      <c r="C1856" t="s">
        <v>421</v>
      </c>
      <c r="D1856" s="648">
        <v>0</v>
      </c>
    </row>
    <row r="1857" spans="1:4">
      <c r="A1857" s="107">
        <v>2</v>
      </c>
      <c r="B1857" s="1323" t="s">
        <v>1037</v>
      </c>
      <c r="C1857" t="s">
        <v>444</v>
      </c>
      <c r="D1857" s="648">
        <v>0</v>
      </c>
    </row>
    <row r="1858" spans="1:4">
      <c r="A1858" s="107">
        <v>2</v>
      </c>
      <c r="B1858" s="1324"/>
      <c r="C1858" t="s">
        <v>445</v>
      </c>
      <c r="D1858" s="648">
        <v>0</v>
      </c>
    </row>
    <row r="1859" spans="1:4">
      <c r="A1859" s="107">
        <v>2</v>
      </c>
      <c r="B1859" s="1324"/>
      <c r="C1859" t="s">
        <v>446</v>
      </c>
      <c r="D1859" s="648">
        <v>3210.5</v>
      </c>
    </row>
    <row r="1860" spans="1:4">
      <c r="A1860" s="107">
        <v>2</v>
      </c>
      <c r="B1860" s="1324"/>
      <c r="C1860" t="s">
        <v>1253</v>
      </c>
      <c r="D1860" s="648">
        <v>0</v>
      </c>
    </row>
    <row r="1861" spans="1:4">
      <c r="A1861" s="107">
        <v>2</v>
      </c>
      <c r="B1861" s="1324"/>
      <c r="C1861" t="s">
        <v>421</v>
      </c>
      <c r="D1861" s="648">
        <v>0</v>
      </c>
    </row>
    <row r="1862" spans="1:4">
      <c r="A1862" s="107">
        <v>1</v>
      </c>
      <c r="B1862" s="1323" t="s">
        <v>1038</v>
      </c>
      <c r="C1862" t="s">
        <v>444</v>
      </c>
      <c r="D1862" s="648">
        <v>497358.5</v>
      </c>
    </row>
    <row r="1863" spans="1:4">
      <c r="A1863" s="107">
        <v>1</v>
      </c>
      <c r="B1863" s="1324"/>
      <c r="C1863" t="s">
        <v>445</v>
      </c>
      <c r="D1863" s="648">
        <v>0</v>
      </c>
    </row>
    <row r="1864" spans="1:4">
      <c r="A1864" s="107">
        <v>1</v>
      </c>
      <c r="B1864" s="1324"/>
      <c r="C1864" t="s">
        <v>446</v>
      </c>
      <c r="D1864" s="648">
        <v>60614.1</v>
      </c>
    </row>
    <row r="1865" spans="1:4">
      <c r="A1865" s="107">
        <v>1</v>
      </c>
      <c r="B1865" s="1324"/>
      <c r="C1865" t="s">
        <v>1253</v>
      </c>
      <c r="D1865" s="648">
        <v>0</v>
      </c>
    </row>
    <row r="1866" spans="1:4">
      <c r="A1866" s="107">
        <v>1</v>
      </c>
      <c r="B1866" s="1324"/>
      <c r="C1866" t="s">
        <v>421</v>
      </c>
      <c r="D1866" s="648">
        <v>10228.799999999999</v>
      </c>
    </row>
    <row r="1867" spans="1:4">
      <c r="A1867" s="107">
        <v>2</v>
      </c>
      <c r="B1867" s="1323" t="s">
        <v>1039</v>
      </c>
      <c r="C1867" t="s">
        <v>444</v>
      </c>
      <c r="D1867" s="648">
        <v>0</v>
      </c>
    </row>
    <row r="1868" spans="1:4">
      <c r="A1868" s="107">
        <v>2</v>
      </c>
      <c r="B1868" s="1324"/>
      <c r="C1868" t="s">
        <v>445</v>
      </c>
      <c r="D1868" s="648">
        <v>0</v>
      </c>
    </row>
    <row r="1869" spans="1:4">
      <c r="A1869" s="107">
        <v>2</v>
      </c>
      <c r="B1869" s="1324"/>
      <c r="C1869" t="s">
        <v>446</v>
      </c>
      <c r="D1869" s="648">
        <v>35401</v>
      </c>
    </row>
    <row r="1870" spans="1:4">
      <c r="A1870" s="107">
        <v>2</v>
      </c>
      <c r="B1870" s="1324"/>
      <c r="C1870" t="s">
        <v>1253</v>
      </c>
      <c r="D1870" s="648">
        <v>0</v>
      </c>
    </row>
    <row r="1871" spans="1:4" ht="12.75" customHeight="1">
      <c r="A1871" s="107">
        <v>2</v>
      </c>
      <c r="B1871" s="1324"/>
      <c r="C1871" t="s">
        <v>421</v>
      </c>
      <c r="D1871" s="648">
        <v>0</v>
      </c>
    </row>
    <row r="1872" spans="1:4" ht="12.75" customHeight="1">
      <c r="A1872" s="107">
        <v>1</v>
      </c>
      <c r="B1872" s="1323" t="s">
        <v>1040</v>
      </c>
      <c r="C1872" t="s">
        <v>444</v>
      </c>
      <c r="D1872" s="648">
        <v>206343.6</v>
      </c>
    </row>
    <row r="1873" spans="1:4">
      <c r="A1873" s="107">
        <v>1</v>
      </c>
      <c r="B1873" s="1324"/>
      <c r="C1873" t="s">
        <v>445</v>
      </c>
      <c r="D1873" s="648">
        <v>0</v>
      </c>
    </row>
    <row r="1874" spans="1:4">
      <c r="A1874" s="107">
        <v>1</v>
      </c>
      <c r="B1874" s="1324"/>
      <c r="C1874" t="s">
        <v>446</v>
      </c>
      <c r="D1874" s="648">
        <v>28892.6</v>
      </c>
    </row>
    <row r="1875" spans="1:4">
      <c r="A1875" s="107">
        <v>1</v>
      </c>
      <c r="B1875" s="1324"/>
      <c r="C1875" t="s">
        <v>1253</v>
      </c>
      <c r="D1875" s="648">
        <v>0</v>
      </c>
    </row>
    <row r="1876" spans="1:4" ht="12.75" customHeight="1">
      <c r="A1876" s="107">
        <v>1</v>
      </c>
      <c r="B1876" s="1324"/>
      <c r="C1876" t="s">
        <v>421</v>
      </c>
      <c r="D1876" s="648">
        <v>0</v>
      </c>
    </row>
    <row r="1877" spans="1:4" ht="12.75" customHeight="1">
      <c r="A1877" s="107">
        <v>1</v>
      </c>
      <c r="B1877" s="1323" t="s">
        <v>1041</v>
      </c>
      <c r="C1877" t="s">
        <v>444</v>
      </c>
      <c r="D1877" s="648">
        <v>782399</v>
      </c>
    </row>
    <row r="1878" spans="1:4">
      <c r="A1878" s="107">
        <v>1</v>
      </c>
      <c r="B1878" s="1324"/>
      <c r="C1878" t="s">
        <v>445</v>
      </c>
      <c r="D1878" s="648">
        <v>0</v>
      </c>
    </row>
    <row r="1879" spans="1:4">
      <c r="A1879" s="107">
        <v>1</v>
      </c>
      <c r="B1879" s="1324"/>
      <c r="C1879" t="s">
        <v>446</v>
      </c>
      <c r="D1879" s="648">
        <v>60938</v>
      </c>
    </row>
    <row r="1880" spans="1:4">
      <c r="A1880" s="107">
        <v>1</v>
      </c>
      <c r="B1880" s="1324"/>
      <c r="C1880" t="s">
        <v>1253</v>
      </c>
      <c r="D1880" s="648">
        <v>0</v>
      </c>
    </row>
    <row r="1881" spans="1:4" ht="12.75" customHeight="1">
      <c r="A1881" s="107">
        <v>1</v>
      </c>
      <c r="B1881" s="1324"/>
      <c r="C1881" t="s">
        <v>421</v>
      </c>
      <c r="D1881" s="648">
        <v>8251.2000000000007</v>
      </c>
    </row>
    <row r="1882" spans="1:4" ht="12.75" customHeight="1">
      <c r="A1882" s="107">
        <v>1</v>
      </c>
      <c r="B1882" s="1323" t="s">
        <v>1042</v>
      </c>
      <c r="C1882" t="s">
        <v>444</v>
      </c>
      <c r="D1882" s="648">
        <v>302265</v>
      </c>
    </row>
    <row r="1883" spans="1:4">
      <c r="A1883" s="107">
        <v>1</v>
      </c>
      <c r="B1883" s="1324"/>
      <c r="C1883" t="s">
        <v>445</v>
      </c>
      <c r="D1883" s="648">
        <v>0</v>
      </c>
    </row>
    <row r="1884" spans="1:4">
      <c r="A1884" s="107">
        <v>1</v>
      </c>
      <c r="B1884" s="1324"/>
      <c r="C1884" t="s">
        <v>446</v>
      </c>
      <c r="D1884" s="648">
        <v>24579.200000000001</v>
      </c>
    </row>
    <row r="1885" spans="1:4">
      <c r="A1885" s="107">
        <v>1</v>
      </c>
      <c r="B1885" s="1324"/>
      <c r="C1885" t="s">
        <v>1253</v>
      </c>
      <c r="D1885" s="648">
        <v>0</v>
      </c>
    </row>
    <row r="1886" spans="1:4" ht="12.75" customHeight="1">
      <c r="A1886" s="107">
        <v>1</v>
      </c>
      <c r="B1886" s="1324"/>
      <c r="C1886" t="s">
        <v>421</v>
      </c>
      <c r="D1886" s="648">
        <v>0</v>
      </c>
    </row>
    <row r="1887" spans="1:4" ht="12.75" customHeight="1">
      <c r="A1887" s="107">
        <v>2</v>
      </c>
      <c r="B1887" s="1323" t="s">
        <v>1043</v>
      </c>
      <c r="C1887" t="s">
        <v>444</v>
      </c>
      <c r="D1887" s="648">
        <v>0</v>
      </c>
    </row>
    <row r="1888" spans="1:4">
      <c r="A1888" s="107">
        <v>2</v>
      </c>
      <c r="B1888" s="1324"/>
      <c r="C1888" t="s">
        <v>445</v>
      </c>
      <c r="D1888" s="648">
        <v>0</v>
      </c>
    </row>
    <row r="1889" spans="1:4">
      <c r="A1889" s="107">
        <v>2</v>
      </c>
      <c r="B1889" s="1324"/>
      <c r="C1889" t="s">
        <v>446</v>
      </c>
      <c r="D1889" s="648">
        <v>5631.7</v>
      </c>
    </row>
    <row r="1890" spans="1:4">
      <c r="A1890" s="107">
        <v>2</v>
      </c>
      <c r="B1890" s="1324"/>
      <c r="C1890" t="s">
        <v>1253</v>
      </c>
      <c r="D1890" s="648">
        <v>0</v>
      </c>
    </row>
    <row r="1891" spans="1:4">
      <c r="A1891" s="107">
        <v>2</v>
      </c>
      <c r="B1891" s="1324"/>
      <c r="C1891" t="s">
        <v>421</v>
      </c>
      <c r="D1891" s="648">
        <v>0</v>
      </c>
    </row>
    <row r="1892" spans="1:4">
      <c r="A1892" s="107">
        <v>2</v>
      </c>
      <c r="B1892" s="1323" t="s">
        <v>1044</v>
      </c>
      <c r="C1892" t="s">
        <v>444</v>
      </c>
      <c r="D1892" s="648">
        <v>0</v>
      </c>
    </row>
    <row r="1893" spans="1:4">
      <c r="A1893" s="107">
        <v>2</v>
      </c>
      <c r="B1893" s="1324"/>
      <c r="C1893" t="s">
        <v>445</v>
      </c>
      <c r="D1893" s="648">
        <v>0</v>
      </c>
    </row>
    <row r="1894" spans="1:4">
      <c r="A1894" s="107">
        <v>2</v>
      </c>
      <c r="B1894" s="1324"/>
      <c r="C1894" t="s">
        <v>446</v>
      </c>
      <c r="D1894" s="648">
        <v>4593.3999999999996</v>
      </c>
    </row>
    <row r="1895" spans="1:4">
      <c r="A1895" s="107">
        <v>2</v>
      </c>
      <c r="B1895" s="1324"/>
      <c r="C1895" t="s">
        <v>1253</v>
      </c>
      <c r="D1895" s="648">
        <v>0</v>
      </c>
    </row>
    <row r="1896" spans="1:4" ht="12.75" customHeight="1">
      <c r="A1896" s="107">
        <v>2</v>
      </c>
      <c r="B1896" s="1324"/>
      <c r="C1896" t="s">
        <v>421</v>
      </c>
      <c r="D1896" s="648">
        <v>0</v>
      </c>
    </row>
    <row r="1897" spans="1:4" ht="12.75" customHeight="1">
      <c r="A1897" s="107">
        <v>2</v>
      </c>
      <c r="B1897" s="1323" t="s">
        <v>1045</v>
      </c>
      <c r="C1897" t="s">
        <v>444</v>
      </c>
      <c r="D1897" s="648">
        <v>0</v>
      </c>
    </row>
    <row r="1898" spans="1:4">
      <c r="A1898" s="107">
        <v>2</v>
      </c>
      <c r="B1898" s="1324"/>
      <c r="C1898" t="s">
        <v>445</v>
      </c>
      <c r="D1898" s="648">
        <v>0</v>
      </c>
    </row>
    <row r="1899" spans="1:4">
      <c r="A1899" s="107">
        <v>2</v>
      </c>
      <c r="B1899" s="1324"/>
      <c r="C1899" t="s">
        <v>446</v>
      </c>
      <c r="D1899" s="648">
        <v>5362.8</v>
      </c>
    </row>
    <row r="1900" spans="1:4">
      <c r="A1900" s="107">
        <v>2</v>
      </c>
      <c r="B1900" s="1324"/>
      <c r="C1900" t="s">
        <v>1253</v>
      </c>
      <c r="D1900" s="648">
        <v>0</v>
      </c>
    </row>
    <row r="1901" spans="1:4" ht="12.75" customHeight="1">
      <c r="A1901" s="107">
        <v>2</v>
      </c>
      <c r="B1901" s="1324"/>
      <c r="C1901" t="s">
        <v>421</v>
      </c>
      <c r="D1901" s="648">
        <v>0</v>
      </c>
    </row>
    <row r="1902" spans="1:4" ht="12.75" customHeight="1">
      <c r="A1902" s="107">
        <v>4</v>
      </c>
      <c r="B1902" s="1323" t="s">
        <v>1046</v>
      </c>
      <c r="C1902" t="s">
        <v>444</v>
      </c>
      <c r="D1902" s="648">
        <v>431162.5</v>
      </c>
    </row>
    <row r="1903" spans="1:4">
      <c r="A1903" s="107">
        <v>4</v>
      </c>
      <c r="B1903" s="1324"/>
      <c r="C1903" t="s">
        <v>445</v>
      </c>
      <c r="D1903" s="648">
        <v>0</v>
      </c>
    </row>
    <row r="1904" spans="1:4">
      <c r="A1904" s="107">
        <v>4</v>
      </c>
      <c r="B1904" s="1324"/>
      <c r="C1904" t="s">
        <v>446</v>
      </c>
      <c r="D1904" s="648">
        <v>7125.1</v>
      </c>
    </row>
    <row r="1905" spans="1:4">
      <c r="A1905" s="107">
        <v>4</v>
      </c>
      <c r="B1905" s="1324"/>
      <c r="C1905" t="s">
        <v>1253</v>
      </c>
      <c r="D1905" s="648">
        <v>0</v>
      </c>
    </row>
    <row r="1906" spans="1:4" ht="12.75" customHeight="1">
      <c r="A1906" s="107">
        <v>4</v>
      </c>
      <c r="B1906" s="1324"/>
      <c r="C1906" t="s">
        <v>421</v>
      </c>
      <c r="D1906" s="648">
        <v>0</v>
      </c>
    </row>
    <row r="1907" spans="1:4" ht="12.75" customHeight="1">
      <c r="A1907" s="107">
        <v>1</v>
      </c>
      <c r="B1907" s="1323" t="s">
        <v>1047</v>
      </c>
      <c r="C1907" t="s">
        <v>444</v>
      </c>
      <c r="D1907" s="648">
        <v>62042.1</v>
      </c>
    </row>
    <row r="1908" spans="1:4">
      <c r="A1908" s="107">
        <v>1</v>
      </c>
      <c r="B1908" s="1324"/>
      <c r="C1908" t="s">
        <v>445</v>
      </c>
      <c r="D1908" s="648">
        <v>0</v>
      </c>
    </row>
    <row r="1909" spans="1:4" ht="17.25" customHeight="1">
      <c r="A1909" s="107">
        <v>1</v>
      </c>
      <c r="B1909" s="1324"/>
      <c r="C1909" t="s">
        <v>446</v>
      </c>
      <c r="D1909" s="648">
        <v>16403.5</v>
      </c>
    </row>
    <row r="1910" spans="1:4" ht="17.25" customHeight="1">
      <c r="A1910" s="107">
        <v>1</v>
      </c>
      <c r="B1910" s="1324"/>
      <c r="C1910" t="s">
        <v>1253</v>
      </c>
      <c r="D1910" s="648">
        <v>0</v>
      </c>
    </row>
    <row r="1911" spans="1:4">
      <c r="A1911" s="107">
        <v>1</v>
      </c>
      <c r="B1911" s="1324"/>
      <c r="C1911" t="s">
        <v>421</v>
      </c>
      <c r="D1911" s="648">
        <v>0</v>
      </c>
    </row>
    <row r="1912" spans="1:4">
      <c r="A1912" s="107">
        <v>1</v>
      </c>
      <c r="B1912" s="1323" t="s">
        <v>1048</v>
      </c>
      <c r="C1912" t="s">
        <v>444</v>
      </c>
      <c r="D1912" s="648">
        <v>651354</v>
      </c>
    </row>
    <row r="1913" spans="1:4">
      <c r="A1913" s="107">
        <v>1</v>
      </c>
      <c r="B1913" s="1324"/>
      <c r="C1913" t="s">
        <v>445</v>
      </c>
      <c r="D1913" s="648">
        <v>0</v>
      </c>
    </row>
    <row r="1914" spans="1:4">
      <c r="A1914" s="107">
        <v>1</v>
      </c>
      <c r="B1914" s="1324"/>
      <c r="C1914" t="s">
        <v>446</v>
      </c>
      <c r="D1914" s="648">
        <v>67575.399999999994</v>
      </c>
    </row>
    <row r="1915" spans="1:4">
      <c r="A1915" s="107">
        <v>1</v>
      </c>
      <c r="B1915" s="1324"/>
      <c r="C1915" t="s">
        <v>1253</v>
      </c>
      <c r="D1915" s="648">
        <v>0</v>
      </c>
    </row>
    <row r="1916" spans="1:4" ht="12.75" customHeight="1">
      <c r="A1916" s="107">
        <v>1</v>
      </c>
      <c r="B1916" s="1324"/>
      <c r="C1916" t="s">
        <v>421</v>
      </c>
      <c r="D1916" s="648">
        <v>12206.3</v>
      </c>
    </row>
    <row r="1917" spans="1:4" ht="12.75" customHeight="1">
      <c r="A1917" s="107">
        <v>1</v>
      </c>
      <c r="B1917" s="1323" t="s">
        <v>1049</v>
      </c>
      <c r="C1917" t="s">
        <v>444</v>
      </c>
      <c r="D1917" s="648">
        <v>191332.3</v>
      </c>
    </row>
    <row r="1918" spans="1:4">
      <c r="A1918" s="107">
        <v>1</v>
      </c>
      <c r="B1918" s="1324"/>
      <c r="C1918" t="s">
        <v>445</v>
      </c>
      <c r="D1918" s="648">
        <v>0</v>
      </c>
    </row>
    <row r="1919" spans="1:4">
      <c r="A1919" s="107">
        <v>1</v>
      </c>
      <c r="B1919" s="1324"/>
      <c r="C1919" t="s">
        <v>446</v>
      </c>
      <c r="D1919" s="648">
        <v>38090.6</v>
      </c>
    </row>
    <row r="1920" spans="1:4">
      <c r="A1920" s="107">
        <v>1</v>
      </c>
      <c r="B1920" s="1324"/>
      <c r="C1920" t="s">
        <v>1253</v>
      </c>
      <c r="D1920" s="648">
        <v>0</v>
      </c>
    </row>
    <row r="1921" spans="1:4" ht="12.75" customHeight="1">
      <c r="A1921" s="107">
        <v>1</v>
      </c>
      <c r="B1921" s="1324"/>
      <c r="C1921" t="s">
        <v>421</v>
      </c>
      <c r="D1921" s="648">
        <v>0</v>
      </c>
    </row>
    <row r="1922" spans="1:4" ht="12.75" customHeight="1">
      <c r="A1922" s="107">
        <v>2</v>
      </c>
      <c r="B1922" s="1323" t="s">
        <v>1050</v>
      </c>
      <c r="C1922" t="s">
        <v>444</v>
      </c>
      <c r="D1922" s="648">
        <v>0</v>
      </c>
    </row>
    <row r="1923" spans="1:4">
      <c r="A1923" s="107">
        <v>2</v>
      </c>
      <c r="B1923" s="1324"/>
      <c r="C1923" t="s">
        <v>445</v>
      </c>
      <c r="D1923" s="648">
        <v>0</v>
      </c>
    </row>
    <row r="1924" spans="1:4">
      <c r="A1924" s="107">
        <v>2</v>
      </c>
      <c r="B1924" s="1324"/>
      <c r="C1924" t="s">
        <v>446</v>
      </c>
      <c r="D1924" s="648">
        <v>11000.2</v>
      </c>
    </row>
    <row r="1925" spans="1:4">
      <c r="A1925" s="107">
        <v>2</v>
      </c>
      <c r="B1925" s="1324"/>
      <c r="C1925" t="s">
        <v>1253</v>
      </c>
      <c r="D1925" s="648">
        <v>0</v>
      </c>
    </row>
    <row r="1926" spans="1:4">
      <c r="A1926" s="107">
        <v>2</v>
      </c>
      <c r="B1926" s="1324"/>
      <c r="C1926" t="s">
        <v>421</v>
      </c>
      <c r="D1926" s="648">
        <v>0</v>
      </c>
    </row>
    <row r="1927" spans="1:4">
      <c r="A1927" s="107">
        <v>1</v>
      </c>
      <c r="B1927" s="1323" t="s">
        <v>1051</v>
      </c>
      <c r="C1927" t="s">
        <v>444</v>
      </c>
      <c r="D1927" s="648">
        <v>86556</v>
      </c>
    </row>
    <row r="1928" spans="1:4">
      <c r="A1928" s="107">
        <v>1</v>
      </c>
      <c r="B1928" s="1324"/>
      <c r="C1928" t="s">
        <v>445</v>
      </c>
      <c r="D1928" s="648">
        <v>0</v>
      </c>
    </row>
    <row r="1929" spans="1:4">
      <c r="A1929" s="107">
        <v>1</v>
      </c>
      <c r="B1929" s="1324"/>
      <c r="C1929" t="s">
        <v>446</v>
      </c>
      <c r="D1929" s="648">
        <v>36178</v>
      </c>
    </row>
    <row r="1930" spans="1:4">
      <c r="A1930" s="107">
        <v>1</v>
      </c>
      <c r="B1930" s="1324"/>
      <c r="C1930" t="s">
        <v>1253</v>
      </c>
      <c r="D1930" s="648">
        <v>0</v>
      </c>
    </row>
    <row r="1931" spans="1:4" ht="12.75" customHeight="1">
      <c r="A1931" s="107">
        <v>1</v>
      </c>
      <c r="B1931" s="1324"/>
      <c r="C1931" t="s">
        <v>421</v>
      </c>
      <c r="D1931" s="648">
        <v>0</v>
      </c>
    </row>
    <row r="1932" spans="1:4" ht="12.75" customHeight="1">
      <c r="A1932" s="107">
        <v>2</v>
      </c>
      <c r="B1932" s="1323" t="s">
        <v>1052</v>
      </c>
      <c r="C1932" t="s">
        <v>444</v>
      </c>
      <c r="D1932" s="648">
        <v>0</v>
      </c>
    </row>
    <row r="1933" spans="1:4">
      <c r="A1933" s="107">
        <v>2</v>
      </c>
      <c r="B1933" s="1324"/>
      <c r="C1933" t="s">
        <v>445</v>
      </c>
      <c r="D1933" s="648">
        <v>0</v>
      </c>
    </row>
    <row r="1934" spans="1:4">
      <c r="A1934" s="107">
        <v>2</v>
      </c>
      <c r="B1934" s="1324"/>
      <c r="C1934" t="s">
        <v>446</v>
      </c>
      <c r="D1934" s="648">
        <v>10132.700000000001</v>
      </c>
    </row>
    <row r="1935" spans="1:4">
      <c r="A1935" s="107">
        <v>2</v>
      </c>
      <c r="B1935" s="1324"/>
      <c r="C1935" t="s">
        <v>1253</v>
      </c>
      <c r="D1935" s="648">
        <v>0</v>
      </c>
    </row>
    <row r="1936" spans="1:4" ht="12.75" customHeight="1">
      <c r="A1936" s="107">
        <v>2</v>
      </c>
      <c r="B1936" s="1324"/>
      <c r="C1936" t="s">
        <v>421</v>
      </c>
      <c r="D1936" s="648">
        <v>0</v>
      </c>
    </row>
    <row r="1937" spans="1:4" ht="12.75" customHeight="1">
      <c r="A1937" s="107">
        <v>4</v>
      </c>
      <c r="B1937" s="1323" t="s">
        <v>1053</v>
      </c>
      <c r="C1937" t="s">
        <v>444</v>
      </c>
      <c r="D1937" s="648">
        <v>766311.5</v>
      </c>
    </row>
    <row r="1938" spans="1:4">
      <c r="A1938" s="107">
        <v>4</v>
      </c>
      <c r="B1938" s="1324"/>
      <c r="C1938" t="s">
        <v>445</v>
      </c>
      <c r="D1938" s="648">
        <v>0</v>
      </c>
    </row>
    <row r="1939" spans="1:4">
      <c r="A1939" s="107">
        <v>4</v>
      </c>
      <c r="B1939" s="1324"/>
      <c r="C1939" t="s">
        <v>446</v>
      </c>
      <c r="D1939" s="648">
        <v>26499.1</v>
      </c>
    </row>
    <row r="1940" spans="1:4">
      <c r="A1940" s="107">
        <v>4</v>
      </c>
      <c r="B1940" s="1324"/>
      <c r="C1940" t="s">
        <v>1253</v>
      </c>
      <c r="D1940" s="648">
        <v>0</v>
      </c>
    </row>
    <row r="1941" spans="1:4" ht="12.75" customHeight="1">
      <c r="A1941" s="107">
        <v>4</v>
      </c>
      <c r="B1941" s="1324"/>
      <c r="C1941" t="s">
        <v>421</v>
      </c>
      <c r="D1941" s="648">
        <v>0</v>
      </c>
    </row>
    <row r="1942" spans="1:4" ht="12.75" customHeight="1">
      <c r="A1942" s="107">
        <v>1</v>
      </c>
      <c r="B1942" s="1323" t="s">
        <v>1054</v>
      </c>
      <c r="C1942" t="s">
        <v>444</v>
      </c>
      <c r="D1942" s="648">
        <v>48374.9</v>
      </c>
    </row>
    <row r="1943" spans="1:4">
      <c r="A1943" s="107">
        <v>1</v>
      </c>
      <c r="B1943" s="1324"/>
      <c r="C1943" t="s">
        <v>445</v>
      </c>
      <c r="D1943" s="648">
        <v>0</v>
      </c>
    </row>
    <row r="1944" spans="1:4">
      <c r="A1944" s="107">
        <v>1</v>
      </c>
      <c r="B1944" s="1324"/>
      <c r="C1944" t="s">
        <v>446</v>
      </c>
      <c r="D1944" s="648">
        <v>14961</v>
      </c>
    </row>
    <row r="1945" spans="1:4">
      <c r="A1945" s="107">
        <v>1</v>
      </c>
      <c r="B1945" s="1324"/>
      <c r="C1945" t="s">
        <v>1253</v>
      </c>
      <c r="D1945" s="648">
        <v>0</v>
      </c>
    </row>
    <row r="1946" spans="1:4">
      <c r="A1946" s="107">
        <v>1</v>
      </c>
      <c r="B1946" s="1325"/>
      <c r="C1946" t="s">
        <v>421</v>
      </c>
      <c r="D1946" s="648">
        <v>0</v>
      </c>
    </row>
    <row r="1947" spans="1:4">
      <c r="A1947" s="107">
        <v>11</v>
      </c>
      <c r="B1947" s="1323" t="s">
        <v>1055</v>
      </c>
      <c r="C1947" t="s">
        <v>444</v>
      </c>
      <c r="D1947" s="648">
        <v>1152007.1000000001</v>
      </c>
    </row>
    <row r="1948" spans="1:4">
      <c r="A1948" s="107">
        <v>11</v>
      </c>
      <c r="B1948" s="1324"/>
      <c r="C1948" t="s">
        <v>445</v>
      </c>
      <c r="D1948" s="648">
        <v>2106059.7999999998</v>
      </c>
    </row>
    <row r="1949" spans="1:4">
      <c r="A1949" s="107">
        <v>11</v>
      </c>
      <c r="B1949" s="1324"/>
      <c r="C1949" t="s">
        <v>446</v>
      </c>
      <c r="D1949" s="648">
        <v>4345.5</v>
      </c>
    </row>
    <row r="1950" spans="1:4">
      <c r="A1950" s="107">
        <v>11</v>
      </c>
      <c r="B1950" s="1324"/>
      <c r="C1950" t="s">
        <v>1253</v>
      </c>
      <c r="D1950" s="648">
        <v>0</v>
      </c>
    </row>
    <row r="1951" spans="1:4" ht="12.75" customHeight="1">
      <c r="A1951" s="107">
        <v>11</v>
      </c>
      <c r="B1951" s="1325"/>
      <c r="C1951" t="s">
        <v>421</v>
      </c>
      <c r="D1951" s="648">
        <v>0</v>
      </c>
    </row>
    <row r="1952" spans="1:4" ht="12.75" customHeight="1">
      <c r="A1952" s="107">
        <v>1</v>
      </c>
      <c r="B1952" s="1323" t="s">
        <v>1056</v>
      </c>
      <c r="C1952" t="s">
        <v>444</v>
      </c>
      <c r="D1952" s="648">
        <v>1471598.8</v>
      </c>
    </row>
    <row r="1953" spans="1:4">
      <c r="A1953" s="107">
        <v>1</v>
      </c>
      <c r="B1953" s="1324"/>
      <c r="C1953" t="s">
        <v>445</v>
      </c>
      <c r="D1953" s="648">
        <v>53897.7</v>
      </c>
    </row>
    <row r="1954" spans="1:4">
      <c r="A1954" s="107">
        <v>1</v>
      </c>
      <c r="B1954" s="1324"/>
      <c r="C1954" t="s">
        <v>446</v>
      </c>
      <c r="D1954" s="648">
        <v>378665.2</v>
      </c>
    </row>
    <row r="1955" spans="1:4">
      <c r="A1955" s="107">
        <v>1</v>
      </c>
      <c r="B1955" s="1324"/>
      <c r="C1955" t="s">
        <v>1253</v>
      </c>
      <c r="D1955" s="648">
        <v>0</v>
      </c>
    </row>
    <row r="1956" spans="1:4" ht="12.75" customHeight="1">
      <c r="A1956" s="107">
        <v>1</v>
      </c>
      <c r="B1956" s="1325"/>
      <c r="C1956" t="s">
        <v>421</v>
      </c>
      <c r="D1956" s="648">
        <v>15016.5</v>
      </c>
    </row>
    <row r="1957" spans="1:4" ht="12.75" customHeight="1">
      <c r="A1957" s="107">
        <v>2</v>
      </c>
      <c r="B1957" s="1323" t="s">
        <v>1057</v>
      </c>
      <c r="C1957" t="s">
        <v>444</v>
      </c>
      <c r="D1957" s="648">
        <v>0</v>
      </c>
    </row>
    <row r="1958" spans="1:4">
      <c r="A1958" s="107">
        <v>2</v>
      </c>
      <c r="B1958" s="1324"/>
      <c r="C1958" t="s">
        <v>445</v>
      </c>
      <c r="D1958" s="648">
        <v>0</v>
      </c>
    </row>
    <row r="1959" spans="1:4">
      <c r="A1959" s="107">
        <v>2</v>
      </c>
      <c r="B1959" s="1324"/>
      <c r="C1959" t="s">
        <v>446</v>
      </c>
      <c r="D1959" s="648">
        <v>4386</v>
      </c>
    </row>
    <row r="1960" spans="1:4">
      <c r="A1960" s="107">
        <v>2</v>
      </c>
      <c r="B1960" s="1324"/>
      <c r="C1960" t="s">
        <v>1253</v>
      </c>
      <c r="D1960" s="648">
        <v>0</v>
      </c>
    </row>
    <row r="1961" spans="1:4" ht="12.75" customHeight="1">
      <c r="A1961" s="107">
        <v>2</v>
      </c>
      <c r="B1961" s="1325"/>
      <c r="C1961" t="s">
        <v>421</v>
      </c>
      <c r="D1961" s="648">
        <v>0</v>
      </c>
    </row>
    <row r="1962" spans="1:4" ht="12.75" customHeight="1">
      <c r="A1962" s="107">
        <v>1</v>
      </c>
      <c r="B1962" s="1323" t="s">
        <v>1058</v>
      </c>
      <c r="C1962" t="s">
        <v>444</v>
      </c>
      <c r="D1962" s="648">
        <v>784986.5</v>
      </c>
    </row>
    <row r="1963" spans="1:4">
      <c r="A1963" s="107">
        <v>1</v>
      </c>
      <c r="B1963" s="1324"/>
      <c r="C1963" t="s">
        <v>445</v>
      </c>
      <c r="D1963" s="648">
        <v>0</v>
      </c>
    </row>
    <row r="1964" spans="1:4">
      <c r="A1964" s="107">
        <v>1</v>
      </c>
      <c r="B1964" s="1324"/>
      <c r="C1964" t="s">
        <v>446</v>
      </c>
      <c r="D1964" s="648">
        <v>61676.3</v>
      </c>
    </row>
    <row r="1965" spans="1:4">
      <c r="A1965" s="107">
        <v>1</v>
      </c>
      <c r="B1965" s="1324"/>
      <c r="C1965" t="s">
        <v>1253</v>
      </c>
      <c r="D1965" s="648">
        <v>0</v>
      </c>
    </row>
    <row r="1966" spans="1:4" ht="12.75" customHeight="1">
      <c r="A1966" s="107">
        <v>1</v>
      </c>
      <c r="B1966" s="1324"/>
      <c r="C1966" t="s">
        <v>421</v>
      </c>
      <c r="D1966" s="648">
        <v>6565.9</v>
      </c>
    </row>
    <row r="1967" spans="1:4" ht="12.75" customHeight="1">
      <c r="A1967" s="107">
        <v>1</v>
      </c>
      <c r="B1967" s="1323" t="s">
        <v>1059</v>
      </c>
      <c r="C1967" t="s">
        <v>444</v>
      </c>
      <c r="D1967" s="648">
        <v>206314.2</v>
      </c>
    </row>
    <row r="1968" spans="1:4">
      <c r="A1968" s="107">
        <v>1</v>
      </c>
      <c r="B1968" s="1324"/>
      <c r="C1968" t="s">
        <v>445</v>
      </c>
      <c r="D1968" s="648">
        <v>0</v>
      </c>
    </row>
    <row r="1969" spans="1:4">
      <c r="A1969" s="107">
        <v>1</v>
      </c>
      <c r="B1969" s="1324"/>
      <c r="C1969" t="s">
        <v>446</v>
      </c>
      <c r="D1969" s="648">
        <v>60378.7</v>
      </c>
    </row>
    <row r="1970" spans="1:4">
      <c r="A1970" s="107">
        <v>1</v>
      </c>
      <c r="B1970" s="1324"/>
      <c r="C1970" t="s">
        <v>1253</v>
      </c>
      <c r="D1970" s="648">
        <v>0</v>
      </c>
    </row>
    <row r="1971" spans="1:4" ht="12.75" customHeight="1">
      <c r="A1971" s="107">
        <v>1</v>
      </c>
      <c r="B1971" s="1324"/>
      <c r="C1971" t="s">
        <v>421</v>
      </c>
      <c r="D1971" s="648">
        <v>2076</v>
      </c>
    </row>
    <row r="1972" spans="1:4" ht="12.75" customHeight="1">
      <c r="A1972" s="107">
        <v>4</v>
      </c>
      <c r="B1972" s="1323" t="s">
        <v>1060</v>
      </c>
      <c r="C1972" t="s">
        <v>444</v>
      </c>
      <c r="D1972" s="648">
        <v>427711</v>
      </c>
    </row>
    <row r="1973" spans="1:4">
      <c r="A1973" s="107">
        <v>4</v>
      </c>
      <c r="B1973" s="1324"/>
      <c r="C1973" t="s">
        <v>445</v>
      </c>
      <c r="D1973" s="648">
        <v>0</v>
      </c>
    </row>
    <row r="1974" spans="1:4">
      <c r="A1974" s="107">
        <v>4</v>
      </c>
      <c r="B1974" s="1324"/>
      <c r="C1974" t="s">
        <v>446</v>
      </c>
      <c r="D1974" s="648">
        <v>18396</v>
      </c>
    </row>
    <row r="1975" spans="1:4">
      <c r="A1975" s="107">
        <v>4</v>
      </c>
      <c r="B1975" s="1324"/>
      <c r="C1975" t="s">
        <v>1253</v>
      </c>
      <c r="D1975" s="648">
        <v>0</v>
      </c>
    </row>
    <row r="1976" spans="1:4" ht="12.75" customHeight="1">
      <c r="A1976" s="107">
        <v>4</v>
      </c>
      <c r="B1976" s="1324"/>
      <c r="C1976" t="s">
        <v>421</v>
      </c>
      <c r="D1976" s="648">
        <v>15639.5</v>
      </c>
    </row>
    <row r="1977" spans="1:4" ht="12.75" customHeight="1">
      <c r="A1977" s="107">
        <v>2</v>
      </c>
      <c r="B1977" s="1323" t="s">
        <v>1061</v>
      </c>
      <c r="C1977" t="s">
        <v>444</v>
      </c>
      <c r="D1977" s="648">
        <v>0</v>
      </c>
    </row>
    <row r="1978" spans="1:4">
      <c r="A1978" s="107">
        <v>2</v>
      </c>
      <c r="B1978" s="1324"/>
      <c r="C1978" t="s">
        <v>445</v>
      </c>
      <c r="D1978" s="648">
        <v>0</v>
      </c>
    </row>
    <row r="1979" spans="1:4">
      <c r="A1979" s="107">
        <v>2</v>
      </c>
      <c r="B1979" s="1324"/>
      <c r="C1979" t="s">
        <v>446</v>
      </c>
      <c r="D1979" s="648">
        <v>3266.7</v>
      </c>
    </row>
    <row r="1980" spans="1:4">
      <c r="A1980" s="107">
        <v>2</v>
      </c>
      <c r="B1980" s="1324"/>
      <c r="C1980" t="s">
        <v>1253</v>
      </c>
      <c r="D1980" s="648">
        <v>0</v>
      </c>
    </row>
    <row r="1981" spans="1:4" ht="12.75" customHeight="1">
      <c r="A1981" s="107">
        <v>2</v>
      </c>
      <c r="B1981" s="1324"/>
      <c r="C1981" t="s">
        <v>421</v>
      </c>
      <c r="D1981" s="648">
        <v>0</v>
      </c>
    </row>
    <row r="1982" spans="1:4" ht="12.75" customHeight="1">
      <c r="A1982" s="107">
        <v>1</v>
      </c>
      <c r="B1982" s="1323" t="s">
        <v>1062</v>
      </c>
      <c r="C1982" t="s">
        <v>444</v>
      </c>
      <c r="D1982" s="648">
        <v>150168.5</v>
      </c>
    </row>
    <row r="1983" spans="1:4">
      <c r="A1983" s="107">
        <v>1</v>
      </c>
      <c r="B1983" s="1324"/>
      <c r="C1983" t="s">
        <v>445</v>
      </c>
      <c r="D1983" s="648">
        <v>50618</v>
      </c>
    </row>
    <row r="1984" spans="1:4">
      <c r="A1984" s="107">
        <v>1</v>
      </c>
      <c r="B1984" s="1324"/>
      <c r="C1984" t="s">
        <v>446</v>
      </c>
      <c r="D1984" s="648">
        <v>30412.5</v>
      </c>
    </row>
    <row r="1985" spans="1:4">
      <c r="A1985" s="107">
        <v>1</v>
      </c>
      <c r="B1985" s="1324"/>
      <c r="C1985" t="s">
        <v>1253</v>
      </c>
      <c r="D1985" s="648">
        <v>0</v>
      </c>
    </row>
    <row r="1986" spans="1:4" ht="12.75" customHeight="1">
      <c r="A1986" s="107">
        <v>1</v>
      </c>
      <c r="B1986" s="1324"/>
      <c r="C1986" t="s">
        <v>421</v>
      </c>
      <c r="D1986" s="648">
        <v>0</v>
      </c>
    </row>
    <row r="1987" spans="1:4" ht="12.75" customHeight="1">
      <c r="A1987" s="107">
        <v>1</v>
      </c>
      <c r="B1987" s="1323" t="s">
        <v>1063</v>
      </c>
      <c r="C1987" t="s">
        <v>444</v>
      </c>
      <c r="D1987" s="648">
        <v>94730.2</v>
      </c>
    </row>
    <row r="1988" spans="1:4">
      <c r="A1988" s="107">
        <v>1</v>
      </c>
      <c r="B1988" s="1324"/>
      <c r="C1988" t="s">
        <v>445</v>
      </c>
      <c r="D1988" s="648">
        <v>7774</v>
      </c>
    </row>
    <row r="1989" spans="1:4">
      <c r="A1989" s="107">
        <v>1</v>
      </c>
      <c r="B1989" s="1324"/>
      <c r="C1989" t="s">
        <v>446</v>
      </c>
      <c r="D1989" s="648">
        <v>8820.4</v>
      </c>
    </row>
    <row r="1990" spans="1:4">
      <c r="A1990" s="107">
        <v>1</v>
      </c>
      <c r="B1990" s="1324"/>
      <c r="C1990" t="s">
        <v>1253</v>
      </c>
      <c r="D1990" s="648">
        <v>0</v>
      </c>
    </row>
    <row r="1991" spans="1:4" ht="12.75" customHeight="1">
      <c r="A1991" s="107">
        <v>1</v>
      </c>
      <c r="B1991" s="1324"/>
      <c r="C1991" t="s">
        <v>421</v>
      </c>
      <c r="D1991" s="648">
        <v>0</v>
      </c>
    </row>
    <row r="1992" spans="1:4" ht="12.75" customHeight="1">
      <c r="A1992" s="107">
        <v>4</v>
      </c>
      <c r="B1992" s="1323" t="s">
        <v>1064</v>
      </c>
      <c r="C1992" t="s">
        <v>444</v>
      </c>
      <c r="D1992" s="648">
        <v>390582.7</v>
      </c>
    </row>
    <row r="1993" spans="1:4">
      <c r="A1993" s="107">
        <v>4</v>
      </c>
      <c r="B1993" s="1324"/>
      <c r="C1993" t="s">
        <v>445</v>
      </c>
      <c r="D1993" s="648">
        <v>122949.6</v>
      </c>
    </row>
    <row r="1994" spans="1:4">
      <c r="A1994" s="107">
        <v>4</v>
      </c>
      <c r="B1994" s="1324"/>
      <c r="C1994" t="s">
        <v>446</v>
      </c>
      <c r="D1994" s="648">
        <v>114609.3</v>
      </c>
    </row>
    <row r="1995" spans="1:4">
      <c r="A1995" s="107">
        <v>4</v>
      </c>
      <c r="B1995" s="1324"/>
      <c r="C1995" t="s">
        <v>1253</v>
      </c>
      <c r="D1995" s="648">
        <v>0</v>
      </c>
    </row>
    <row r="1996" spans="1:4">
      <c r="A1996" s="107">
        <v>4</v>
      </c>
      <c r="B1996" s="1324"/>
      <c r="C1996" t="s">
        <v>421</v>
      </c>
      <c r="D1996" s="648">
        <v>0</v>
      </c>
    </row>
    <row r="1997" spans="1:4">
      <c r="A1997" s="107">
        <v>1</v>
      </c>
      <c r="B1997" s="1324" t="s">
        <v>1065</v>
      </c>
      <c r="C1997" t="s">
        <v>444</v>
      </c>
      <c r="D1997" s="648">
        <v>126450</v>
      </c>
    </row>
    <row r="1998" spans="1:4">
      <c r="A1998" s="107">
        <v>1</v>
      </c>
      <c r="B1998" s="1324"/>
      <c r="C1998" t="s">
        <v>445</v>
      </c>
      <c r="D1998" s="648">
        <v>0</v>
      </c>
    </row>
    <row r="1999" spans="1:4">
      <c r="A1999" s="107">
        <v>1</v>
      </c>
      <c r="B1999" s="1324"/>
      <c r="C1999" t="s">
        <v>446</v>
      </c>
      <c r="D1999" s="648">
        <v>18187.2</v>
      </c>
    </row>
    <row r="2000" spans="1:4">
      <c r="A2000" s="107">
        <v>1</v>
      </c>
      <c r="B2000" s="1324"/>
      <c r="C2000" t="s">
        <v>1253</v>
      </c>
      <c r="D2000" s="648">
        <v>0</v>
      </c>
    </row>
    <row r="2001" spans="1:4">
      <c r="A2001" s="107">
        <v>1</v>
      </c>
      <c r="B2001" s="1325"/>
      <c r="C2001" t="s">
        <v>421</v>
      </c>
      <c r="D2001" s="648">
        <v>0</v>
      </c>
    </row>
    <row r="2002" spans="1:4">
      <c r="A2002" s="107">
        <v>1</v>
      </c>
      <c r="B2002" s="1323" t="s">
        <v>1066</v>
      </c>
      <c r="C2002" t="s">
        <v>444</v>
      </c>
      <c r="D2002" s="648">
        <v>1105795.3999999999</v>
      </c>
    </row>
    <row r="2003" spans="1:4">
      <c r="A2003" s="107">
        <v>1</v>
      </c>
      <c r="B2003" s="1324"/>
      <c r="C2003" t="s">
        <v>445</v>
      </c>
      <c r="D2003" s="648">
        <v>508573.6</v>
      </c>
    </row>
    <row r="2004" spans="1:4">
      <c r="A2004" s="107">
        <v>1</v>
      </c>
      <c r="B2004" s="1324"/>
      <c r="C2004" t="s">
        <v>446</v>
      </c>
      <c r="D2004" s="648">
        <v>121560.7</v>
      </c>
    </row>
    <row r="2005" spans="1:4">
      <c r="A2005" s="107">
        <v>1</v>
      </c>
      <c r="B2005" s="1324"/>
      <c r="C2005" t="s">
        <v>1253</v>
      </c>
      <c r="D2005" s="648">
        <v>0</v>
      </c>
    </row>
    <row r="2006" spans="1:4" ht="12.75" customHeight="1">
      <c r="A2006" s="107">
        <v>1</v>
      </c>
      <c r="B2006" s="1324"/>
      <c r="C2006" t="s">
        <v>421</v>
      </c>
      <c r="D2006" s="648">
        <v>16168.3</v>
      </c>
    </row>
    <row r="2007" spans="1:4" ht="12.75" customHeight="1">
      <c r="A2007" s="107">
        <v>3</v>
      </c>
      <c r="B2007" s="1323" t="s">
        <v>1067</v>
      </c>
      <c r="C2007" t="s">
        <v>444</v>
      </c>
      <c r="D2007" s="648">
        <v>110615.4</v>
      </c>
    </row>
    <row r="2008" spans="1:4">
      <c r="A2008" s="107">
        <v>3</v>
      </c>
      <c r="B2008" s="1324"/>
      <c r="C2008" t="s">
        <v>445</v>
      </c>
      <c r="D2008" s="648">
        <v>0</v>
      </c>
    </row>
    <row r="2009" spans="1:4">
      <c r="A2009" s="107">
        <v>3</v>
      </c>
      <c r="B2009" s="1324"/>
      <c r="C2009" t="s">
        <v>446</v>
      </c>
      <c r="D2009" s="648">
        <v>25111.1</v>
      </c>
    </row>
    <row r="2010" spans="1:4">
      <c r="A2010" s="107">
        <v>3</v>
      </c>
      <c r="B2010" s="1324"/>
      <c r="C2010" t="s">
        <v>1253</v>
      </c>
      <c r="D2010" s="648">
        <v>0</v>
      </c>
    </row>
    <row r="2011" spans="1:4" ht="12.75" customHeight="1">
      <c r="A2011" s="107">
        <v>3</v>
      </c>
      <c r="B2011" s="1324"/>
      <c r="C2011" t="s">
        <v>421</v>
      </c>
      <c r="D2011" s="648">
        <v>0</v>
      </c>
    </row>
    <row r="2012" spans="1:4" ht="12.75" customHeight="1">
      <c r="A2012" s="107">
        <v>15</v>
      </c>
      <c r="B2012" s="1323" t="s">
        <v>1068</v>
      </c>
      <c r="C2012" t="s">
        <v>444</v>
      </c>
      <c r="D2012" s="648">
        <v>245484.3</v>
      </c>
    </row>
    <row r="2013" spans="1:4">
      <c r="A2013" s="107">
        <v>15</v>
      </c>
      <c r="B2013" s="1324"/>
      <c r="C2013" t="s">
        <v>445</v>
      </c>
      <c r="D2013" s="648">
        <v>0</v>
      </c>
    </row>
    <row r="2014" spans="1:4">
      <c r="A2014" s="107">
        <v>15</v>
      </c>
      <c r="B2014" s="1324"/>
      <c r="C2014" t="s">
        <v>446</v>
      </c>
      <c r="D2014" s="648">
        <v>11519</v>
      </c>
    </row>
    <row r="2015" spans="1:4">
      <c r="A2015" s="107">
        <v>15</v>
      </c>
      <c r="B2015" s="1324"/>
      <c r="C2015" t="s">
        <v>1253</v>
      </c>
      <c r="D2015" s="648">
        <v>15843.5</v>
      </c>
    </row>
    <row r="2016" spans="1:4">
      <c r="A2016" s="107">
        <v>15</v>
      </c>
      <c r="B2016" s="1324"/>
      <c r="C2016" t="s">
        <v>421</v>
      </c>
      <c r="D2016" s="648">
        <v>4709.3999999999996</v>
      </c>
    </row>
    <row r="2017" spans="1:4">
      <c r="A2017" s="107">
        <v>1</v>
      </c>
      <c r="B2017" s="1323" t="s">
        <v>1069</v>
      </c>
      <c r="C2017" t="s">
        <v>444</v>
      </c>
      <c r="D2017" s="648">
        <v>50448.9</v>
      </c>
    </row>
    <row r="2018" spans="1:4">
      <c r="A2018" s="107">
        <v>1</v>
      </c>
      <c r="B2018" s="1324"/>
      <c r="C2018" t="s">
        <v>445</v>
      </c>
      <c r="D2018" s="648">
        <v>0</v>
      </c>
    </row>
    <row r="2019" spans="1:4">
      <c r="A2019" s="107">
        <v>1</v>
      </c>
      <c r="B2019" s="1324"/>
      <c r="C2019" t="s">
        <v>446</v>
      </c>
      <c r="D2019" s="648">
        <v>188215.2</v>
      </c>
    </row>
    <row r="2020" spans="1:4">
      <c r="A2020" s="107">
        <v>1</v>
      </c>
      <c r="B2020" s="1324"/>
      <c r="C2020" t="s">
        <v>1253</v>
      </c>
      <c r="D2020" s="648">
        <v>0</v>
      </c>
    </row>
    <row r="2021" spans="1:4">
      <c r="A2021" s="107">
        <v>1</v>
      </c>
      <c r="B2021" s="1324"/>
      <c r="C2021" t="s">
        <v>421</v>
      </c>
      <c r="D2021" s="648">
        <v>0</v>
      </c>
    </row>
    <row r="2022" spans="1:4">
      <c r="A2022" s="107">
        <v>1</v>
      </c>
      <c r="B2022" s="1323" t="s">
        <v>1070</v>
      </c>
      <c r="C2022" t="s">
        <v>444</v>
      </c>
      <c r="D2022" s="648">
        <v>219392.3</v>
      </c>
    </row>
    <row r="2023" spans="1:4">
      <c r="A2023" s="107">
        <v>1</v>
      </c>
      <c r="B2023" s="1324"/>
      <c r="C2023" t="s">
        <v>445</v>
      </c>
      <c r="D2023" s="648">
        <v>61038.2</v>
      </c>
    </row>
    <row r="2024" spans="1:4">
      <c r="A2024" s="107">
        <v>1</v>
      </c>
      <c r="B2024" s="1324"/>
      <c r="C2024" t="s">
        <v>446</v>
      </c>
      <c r="D2024" s="648">
        <v>95659.1</v>
      </c>
    </row>
    <row r="2025" spans="1:4">
      <c r="A2025" s="107">
        <v>1</v>
      </c>
      <c r="B2025" s="1324"/>
      <c r="C2025" t="s">
        <v>1253</v>
      </c>
      <c r="D2025" s="648">
        <v>0</v>
      </c>
    </row>
    <row r="2026" spans="1:4" ht="12.75" customHeight="1">
      <c r="A2026" s="107">
        <v>1</v>
      </c>
      <c r="B2026" s="1324"/>
      <c r="C2026" t="s">
        <v>421</v>
      </c>
      <c r="D2026" s="648">
        <v>0</v>
      </c>
    </row>
    <row r="2027" spans="1:4" ht="12.75" customHeight="1">
      <c r="A2027" s="107">
        <v>2</v>
      </c>
      <c r="B2027" s="1323" t="s">
        <v>1071</v>
      </c>
      <c r="C2027" t="s">
        <v>444</v>
      </c>
      <c r="D2027" s="648">
        <v>0</v>
      </c>
    </row>
    <row r="2028" spans="1:4">
      <c r="A2028" s="107">
        <v>2</v>
      </c>
      <c r="B2028" s="1324"/>
      <c r="C2028" t="s">
        <v>445</v>
      </c>
      <c r="D2028" s="648">
        <v>0</v>
      </c>
    </row>
    <row r="2029" spans="1:4">
      <c r="A2029" s="107">
        <v>2</v>
      </c>
      <c r="B2029" s="1324"/>
      <c r="C2029" t="s">
        <v>446</v>
      </c>
      <c r="D2029" s="648">
        <v>126418</v>
      </c>
    </row>
    <row r="2030" spans="1:4">
      <c r="A2030" s="107">
        <v>2</v>
      </c>
      <c r="B2030" s="1324"/>
      <c r="C2030" t="s">
        <v>1253</v>
      </c>
      <c r="D2030" s="648">
        <v>0</v>
      </c>
    </row>
    <row r="2031" spans="1:4" ht="12.75" customHeight="1">
      <c r="A2031" s="107">
        <v>2</v>
      </c>
      <c r="B2031" s="1324"/>
      <c r="C2031" t="s">
        <v>421</v>
      </c>
      <c r="D2031" s="648">
        <v>0</v>
      </c>
    </row>
    <row r="2032" spans="1:4" ht="12.75" customHeight="1">
      <c r="A2032" s="107">
        <v>2</v>
      </c>
      <c r="B2032" s="1323" t="s">
        <v>1072</v>
      </c>
      <c r="C2032" t="s">
        <v>444</v>
      </c>
      <c r="D2032" s="648">
        <v>0</v>
      </c>
    </row>
    <row r="2033" spans="1:4">
      <c r="A2033" s="107">
        <v>2</v>
      </c>
      <c r="B2033" s="1324"/>
      <c r="C2033" t="s">
        <v>445</v>
      </c>
      <c r="D2033" s="648">
        <v>0</v>
      </c>
    </row>
    <row r="2034" spans="1:4">
      <c r="A2034" s="107">
        <v>2</v>
      </c>
      <c r="B2034" s="1324"/>
      <c r="C2034" t="s">
        <v>446</v>
      </c>
      <c r="D2034" s="648">
        <v>326633.59999999998</v>
      </c>
    </row>
    <row r="2035" spans="1:4">
      <c r="A2035" s="107">
        <v>2</v>
      </c>
      <c r="B2035" s="1324"/>
      <c r="C2035" t="s">
        <v>1253</v>
      </c>
      <c r="D2035" s="648">
        <v>0</v>
      </c>
    </row>
    <row r="2036" spans="1:4" ht="12.75" customHeight="1">
      <c r="A2036" s="107">
        <v>2</v>
      </c>
      <c r="B2036" s="1324"/>
      <c r="C2036" t="s">
        <v>421</v>
      </c>
      <c r="D2036" s="648">
        <v>0</v>
      </c>
    </row>
    <row r="2037" spans="1:4" ht="12.75" customHeight="1">
      <c r="A2037" s="107">
        <v>1</v>
      </c>
      <c r="B2037" s="1323" t="s">
        <v>1073</v>
      </c>
      <c r="C2037" t="s">
        <v>444</v>
      </c>
      <c r="D2037" s="648">
        <v>57602.2</v>
      </c>
    </row>
    <row r="2038" spans="1:4">
      <c r="A2038" s="107">
        <v>1</v>
      </c>
      <c r="B2038" s="1324"/>
      <c r="C2038" t="s">
        <v>445</v>
      </c>
      <c r="D2038" s="648">
        <v>0</v>
      </c>
    </row>
    <row r="2039" spans="1:4">
      <c r="A2039" s="107">
        <v>1</v>
      </c>
      <c r="B2039" s="1324"/>
      <c r="C2039" t="s">
        <v>446</v>
      </c>
      <c r="D2039" s="648">
        <v>0</v>
      </c>
    </row>
    <row r="2040" spans="1:4">
      <c r="A2040" s="107">
        <v>1</v>
      </c>
      <c r="B2040" s="1324"/>
      <c r="C2040" t="s">
        <v>1253</v>
      </c>
      <c r="D2040" s="648">
        <v>0</v>
      </c>
    </row>
    <row r="2041" spans="1:4">
      <c r="A2041" s="107">
        <v>1</v>
      </c>
      <c r="B2041" s="1325"/>
      <c r="C2041" t="s">
        <v>421</v>
      </c>
      <c r="D2041" s="648">
        <v>0</v>
      </c>
    </row>
    <row r="2042" spans="1:4">
      <c r="A2042" s="107">
        <v>2</v>
      </c>
      <c r="B2042" s="1323" t="s">
        <v>1074</v>
      </c>
      <c r="C2042" t="s">
        <v>444</v>
      </c>
      <c r="D2042" s="648">
        <v>0</v>
      </c>
    </row>
    <row r="2043" spans="1:4">
      <c r="A2043" s="107">
        <v>2</v>
      </c>
      <c r="B2043" s="1324"/>
      <c r="C2043" t="s">
        <v>445</v>
      </c>
      <c r="D2043" s="648">
        <v>0</v>
      </c>
    </row>
    <row r="2044" spans="1:4">
      <c r="A2044" s="107">
        <v>2</v>
      </c>
      <c r="B2044" s="1324"/>
      <c r="C2044" t="s">
        <v>446</v>
      </c>
      <c r="D2044" s="648">
        <v>4876.6000000000004</v>
      </c>
    </row>
    <row r="2045" spans="1:4">
      <c r="A2045" s="107">
        <v>2</v>
      </c>
      <c r="B2045" s="1324"/>
      <c r="C2045" t="s">
        <v>1253</v>
      </c>
      <c r="D2045" s="648">
        <v>0</v>
      </c>
    </row>
    <row r="2046" spans="1:4">
      <c r="A2046" s="107">
        <v>2</v>
      </c>
      <c r="B2046" s="1325"/>
      <c r="C2046" t="s">
        <v>421</v>
      </c>
      <c r="D2046" s="648">
        <v>0</v>
      </c>
    </row>
    <row r="2047" spans="1:4">
      <c r="A2047" s="107">
        <v>9</v>
      </c>
      <c r="B2047" s="1323" t="s">
        <v>1075</v>
      </c>
      <c r="C2047" t="s">
        <v>444</v>
      </c>
      <c r="D2047" s="648">
        <v>14766.3</v>
      </c>
    </row>
    <row r="2048" spans="1:4">
      <c r="A2048" s="107">
        <v>9</v>
      </c>
      <c r="B2048" s="1324"/>
      <c r="C2048" t="s">
        <v>445</v>
      </c>
      <c r="D2048" s="648">
        <v>280730.7</v>
      </c>
    </row>
    <row r="2049" spans="1:4">
      <c r="A2049" s="107">
        <v>9</v>
      </c>
      <c r="B2049" s="1324"/>
      <c r="C2049" t="s">
        <v>446</v>
      </c>
      <c r="D2049" s="648">
        <v>34146.6</v>
      </c>
    </row>
    <row r="2050" spans="1:4">
      <c r="A2050" s="107">
        <v>9</v>
      </c>
      <c r="B2050" s="1324"/>
      <c r="C2050" t="s">
        <v>1253</v>
      </c>
      <c r="D2050" s="648">
        <v>0</v>
      </c>
    </row>
    <row r="2051" spans="1:4">
      <c r="A2051" s="107">
        <v>9</v>
      </c>
      <c r="B2051" s="1324"/>
      <c r="C2051" t="s">
        <v>421</v>
      </c>
      <c r="D2051" s="648">
        <v>0</v>
      </c>
    </row>
    <row r="2052" spans="1:4">
      <c r="A2052" s="107">
        <v>2</v>
      </c>
      <c r="B2052" s="1323" t="s">
        <v>1076</v>
      </c>
      <c r="C2052" t="s">
        <v>444</v>
      </c>
      <c r="D2052" s="648">
        <v>0</v>
      </c>
    </row>
    <row r="2053" spans="1:4">
      <c r="A2053" s="107">
        <v>2</v>
      </c>
      <c r="B2053" s="1324"/>
      <c r="C2053" t="s">
        <v>445</v>
      </c>
      <c r="D2053" s="648">
        <v>0</v>
      </c>
    </row>
    <row r="2054" spans="1:4">
      <c r="A2054" s="107">
        <v>2</v>
      </c>
      <c r="B2054" s="1324"/>
      <c r="C2054" t="s">
        <v>446</v>
      </c>
      <c r="D2054" s="648">
        <v>6616.2</v>
      </c>
    </row>
    <row r="2055" spans="1:4">
      <c r="A2055" s="107">
        <v>2</v>
      </c>
      <c r="B2055" s="1324"/>
      <c r="C2055" t="s">
        <v>1253</v>
      </c>
      <c r="D2055" s="648">
        <v>0</v>
      </c>
    </row>
    <row r="2056" spans="1:4" ht="12.75" customHeight="1">
      <c r="A2056" s="107">
        <v>2</v>
      </c>
      <c r="B2056" s="1325"/>
      <c r="C2056" t="s">
        <v>421</v>
      </c>
      <c r="D2056" s="648">
        <v>0</v>
      </c>
    </row>
    <row r="2057" spans="1:4" ht="12.75" customHeight="1">
      <c r="A2057" s="107">
        <v>6</v>
      </c>
      <c r="B2057" s="1323" t="s">
        <v>1077</v>
      </c>
      <c r="C2057" t="s">
        <v>444</v>
      </c>
      <c r="D2057" s="648">
        <v>0</v>
      </c>
    </row>
    <row r="2058" spans="1:4">
      <c r="A2058" s="107">
        <v>6</v>
      </c>
      <c r="B2058" s="1324"/>
      <c r="C2058" t="s">
        <v>445</v>
      </c>
      <c r="D2058" s="648">
        <v>0</v>
      </c>
    </row>
    <row r="2059" spans="1:4">
      <c r="A2059" s="107">
        <v>6</v>
      </c>
      <c r="B2059" s="1324"/>
      <c r="C2059" t="s">
        <v>446</v>
      </c>
      <c r="D2059" s="648">
        <v>7153.5</v>
      </c>
    </row>
    <row r="2060" spans="1:4">
      <c r="A2060" s="107">
        <v>6</v>
      </c>
      <c r="B2060" s="1324"/>
      <c r="C2060" t="s">
        <v>1253</v>
      </c>
      <c r="D2060" s="648">
        <v>0</v>
      </c>
    </row>
    <row r="2061" spans="1:4" ht="12.75" customHeight="1">
      <c r="A2061" s="107">
        <v>6</v>
      </c>
      <c r="B2061" s="1325"/>
      <c r="C2061" t="s">
        <v>421</v>
      </c>
      <c r="D2061" s="648">
        <v>0</v>
      </c>
    </row>
    <row r="2062" spans="1:4" ht="12.75" customHeight="1">
      <c r="A2062" s="107">
        <v>9</v>
      </c>
      <c r="B2062" s="1323" t="s">
        <v>1078</v>
      </c>
      <c r="C2062" t="s">
        <v>444</v>
      </c>
      <c r="D2062" s="648">
        <v>0</v>
      </c>
    </row>
    <row r="2063" spans="1:4">
      <c r="A2063" s="107">
        <v>9</v>
      </c>
      <c r="B2063" s="1324"/>
      <c r="C2063" t="s">
        <v>445</v>
      </c>
      <c r="D2063" s="648">
        <v>0</v>
      </c>
    </row>
    <row r="2064" spans="1:4">
      <c r="A2064" s="107">
        <v>9</v>
      </c>
      <c r="B2064" s="1324"/>
      <c r="C2064" t="s">
        <v>446</v>
      </c>
      <c r="D2064" s="648">
        <v>34826.699999999997</v>
      </c>
    </row>
    <row r="2065" spans="1:4">
      <c r="A2065" s="107">
        <v>9</v>
      </c>
      <c r="B2065" s="1324"/>
      <c r="C2065" t="s">
        <v>1253</v>
      </c>
      <c r="D2065" s="648">
        <v>0</v>
      </c>
    </row>
    <row r="2066" spans="1:4" ht="12.75" customHeight="1">
      <c r="A2066" s="107">
        <v>9</v>
      </c>
      <c r="B2066" s="1325"/>
      <c r="C2066" t="s">
        <v>421</v>
      </c>
      <c r="D2066" s="648">
        <v>0</v>
      </c>
    </row>
    <row r="2067" spans="1:4" ht="12.75" customHeight="1">
      <c r="A2067" s="107">
        <v>2</v>
      </c>
      <c r="B2067" s="1323" t="s">
        <v>1079</v>
      </c>
      <c r="C2067" t="s">
        <v>444</v>
      </c>
      <c r="D2067" s="648">
        <v>0</v>
      </c>
    </row>
    <row r="2068" spans="1:4">
      <c r="A2068" s="107">
        <v>2</v>
      </c>
      <c r="B2068" s="1324"/>
      <c r="C2068" t="s">
        <v>445</v>
      </c>
      <c r="D2068" s="648">
        <v>0</v>
      </c>
    </row>
    <row r="2069" spans="1:4">
      <c r="A2069" s="107">
        <v>2</v>
      </c>
      <c r="B2069" s="1324"/>
      <c r="C2069" t="s">
        <v>446</v>
      </c>
      <c r="D2069" s="648">
        <v>335807</v>
      </c>
    </row>
    <row r="2070" spans="1:4">
      <c r="A2070" s="107">
        <v>2</v>
      </c>
      <c r="B2070" s="1324"/>
      <c r="C2070" t="s">
        <v>1253</v>
      </c>
      <c r="D2070" s="648">
        <v>0</v>
      </c>
    </row>
    <row r="2071" spans="1:4" ht="12.75" customHeight="1">
      <c r="A2071" s="107">
        <v>2</v>
      </c>
      <c r="B2071" s="1325"/>
      <c r="C2071" t="s">
        <v>421</v>
      </c>
      <c r="D2071" s="648">
        <v>0</v>
      </c>
    </row>
    <row r="2072" spans="1:4" ht="12.75" customHeight="1">
      <c r="A2072" s="107">
        <v>2</v>
      </c>
      <c r="B2072" s="1323" t="s">
        <v>1553</v>
      </c>
      <c r="C2072" t="s">
        <v>444</v>
      </c>
      <c r="D2072" s="648">
        <v>0</v>
      </c>
    </row>
    <row r="2073" spans="1:4">
      <c r="A2073" s="107">
        <v>2</v>
      </c>
      <c r="B2073" s="1324"/>
      <c r="C2073" t="s">
        <v>445</v>
      </c>
      <c r="D2073" s="648">
        <v>0</v>
      </c>
    </row>
    <row r="2074" spans="1:4">
      <c r="A2074" s="107">
        <v>2</v>
      </c>
      <c r="B2074" s="1324"/>
      <c r="C2074" t="s">
        <v>446</v>
      </c>
      <c r="D2074" s="648">
        <v>4519.3999999999996</v>
      </c>
    </row>
    <row r="2075" spans="1:4">
      <c r="A2075" s="107">
        <v>2</v>
      </c>
      <c r="B2075" s="1324"/>
      <c r="C2075" t="s">
        <v>1253</v>
      </c>
      <c r="D2075" s="648">
        <v>0</v>
      </c>
    </row>
    <row r="2076" spans="1:4" ht="12.75" customHeight="1">
      <c r="A2076" s="107">
        <v>2</v>
      </c>
      <c r="B2076" s="1325"/>
      <c r="C2076" t="s">
        <v>421</v>
      </c>
      <c r="D2076" s="648">
        <v>0</v>
      </c>
    </row>
    <row r="2077" spans="1:4" ht="12.75" customHeight="1">
      <c r="A2077" s="107">
        <v>2</v>
      </c>
      <c r="B2077" s="1323" t="s">
        <v>1554</v>
      </c>
      <c r="C2077" t="s">
        <v>444</v>
      </c>
      <c r="D2077" s="648">
        <v>0</v>
      </c>
    </row>
    <row r="2078" spans="1:4">
      <c r="A2078" s="107">
        <v>2</v>
      </c>
      <c r="B2078" s="1324"/>
      <c r="C2078" t="s">
        <v>445</v>
      </c>
      <c r="D2078" s="648">
        <v>0</v>
      </c>
    </row>
    <row r="2079" spans="1:4">
      <c r="A2079" s="107">
        <v>2</v>
      </c>
      <c r="B2079" s="1324"/>
      <c r="C2079" t="s">
        <v>446</v>
      </c>
      <c r="D2079" s="648">
        <v>3599</v>
      </c>
    </row>
    <row r="2080" spans="1:4">
      <c r="A2080" s="107">
        <v>2</v>
      </c>
      <c r="B2080" s="1324"/>
      <c r="C2080" t="s">
        <v>1253</v>
      </c>
      <c r="D2080" s="648">
        <v>0</v>
      </c>
    </row>
    <row r="2081" spans="1:4" ht="12.75" customHeight="1">
      <c r="A2081" s="107">
        <v>2</v>
      </c>
      <c r="B2081" s="1324"/>
      <c r="C2081" t="s">
        <v>421</v>
      </c>
      <c r="D2081" s="648">
        <v>0</v>
      </c>
    </row>
    <row r="2082" spans="1:4" ht="12.75" customHeight="1">
      <c r="A2082" s="107">
        <v>9</v>
      </c>
      <c r="B2082" s="1324" t="s">
        <v>2148</v>
      </c>
      <c r="C2082" t="s">
        <v>444</v>
      </c>
      <c r="D2082" s="648">
        <v>0</v>
      </c>
    </row>
    <row r="2083" spans="1:4" ht="12.75" customHeight="1">
      <c r="A2083" s="107">
        <v>9</v>
      </c>
      <c r="B2083" s="1324"/>
      <c r="C2083" t="s">
        <v>445</v>
      </c>
      <c r="D2083" s="648">
        <v>0</v>
      </c>
    </row>
    <row r="2084" spans="1:4" ht="12.75" customHeight="1">
      <c r="A2084" s="107">
        <v>9</v>
      </c>
      <c r="B2084" s="1324"/>
      <c r="C2084" t="s">
        <v>446</v>
      </c>
      <c r="D2084" s="648">
        <v>25747.599999999999</v>
      </c>
    </row>
    <row r="2085" spans="1:4" ht="12.75" customHeight="1">
      <c r="A2085" s="107">
        <v>9</v>
      </c>
      <c r="B2085" s="1324"/>
      <c r="C2085" t="s">
        <v>1253</v>
      </c>
      <c r="D2085" s="648">
        <v>0</v>
      </c>
    </row>
    <row r="2086" spans="1:4" ht="12.75" customHeight="1">
      <c r="A2086" s="107">
        <v>9</v>
      </c>
      <c r="B2086" s="1324"/>
      <c r="C2086" t="s">
        <v>421</v>
      </c>
      <c r="D2086" s="648">
        <v>0</v>
      </c>
    </row>
    <row r="2087" spans="1:4" ht="12.75" customHeight="1">
      <c r="A2087" s="107">
        <v>9</v>
      </c>
      <c r="B2087" s="1324" t="s">
        <v>2149</v>
      </c>
      <c r="C2087" t="s">
        <v>444</v>
      </c>
      <c r="D2087" s="648">
        <v>0</v>
      </c>
    </row>
    <row r="2088" spans="1:4" ht="12.75" customHeight="1">
      <c r="A2088" s="107">
        <v>9</v>
      </c>
      <c r="B2088" s="1324"/>
      <c r="C2088" t="s">
        <v>445</v>
      </c>
      <c r="D2088" s="648">
        <v>56700.3</v>
      </c>
    </row>
    <row r="2089" spans="1:4" ht="12.75" customHeight="1">
      <c r="A2089" s="107">
        <v>9</v>
      </c>
      <c r="B2089" s="1324"/>
      <c r="C2089" t="s">
        <v>446</v>
      </c>
      <c r="D2089" s="648">
        <v>22422.799999999999</v>
      </c>
    </row>
    <row r="2090" spans="1:4" ht="12.75" customHeight="1">
      <c r="A2090" s="107">
        <v>9</v>
      </c>
      <c r="B2090" s="1324"/>
      <c r="C2090" t="s">
        <v>1253</v>
      </c>
      <c r="D2090" s="648">
        <v>0</v>
      </c>
    </row>
    <row r="2091" spans="1:4" ht="12.75" customHeight="1">
      <c r="A2091" s="107">
        <v>9</v>
      </c>
      <c r="B2091" s="1325"/>
      <c r="C2091" t="s">
        <v>421</v>
      </c>
      <c r="D2091" s="648">
        <v>0</v>
      </c>
    </row>
    <row r="2092" spans="1:4" ht="12.75" customHeight="1">
      <c r="A2092" s="107">
        <v>2</v>
      </c>
      <c r="B2092" s="1323" t="s">
        <v>2150</v>
      </c>
      <c r="C2092" t="s">
        <v>444</v>
      </c>
      <c r="D2092" s="648">
        <v>0</v>
      </c>
    </row>
    <row r="2093" spans="1:4">
      <c r="A2093" s="107">
        <v>2</v>
      </c>
      <c r="B2093" s="1324"/>
      <c r="C2093" t="s">
        <v>445</v>
      </c>
      <c r="D2093" s="648">
        <v>0</v>
      </c>
    </row>
    <row r="2094" spans="1:4">
      <c r="A2094" s="107">
        <v>2</v>
      </c>
      <c r="B2094" s="1324"/>
      <c r="C2094" t="s">
        <v>446</v>
      </c>
      <c r="D2094" s="648">
        <v>1036.5999999999999</v>
      </c>
    </row>
    <row r="2095" spans="1:4">
      <c r="A2095" s="107">
        <v>2</v>
      </c>
      <c r="B2095" s="1324"/>
      <c r="C2095" t="s">
        <v>1253</v>
      </c>
      <c r="D2095" s="648">
        <v>0</v>
      </c>
    </row>
    <row r="2096" spans="1:4" ht="12.75" customHeight="1">
      <c r="A2096" s="107">
        <v>2</v>
      </c>
      <c r="B2096" s="1325"/>
      <c r="C2096" t="s">
        <v>421</v>
      </c>
      <c r="D2096" s="648">
        <v>0</v>
      </c>
    </row>
    <row r="2097" spans="1:4" s="645" customFormat="1" ht="12.75" customHeight="1">
      <c r="A2097" s="644">
        <v>2</v>
      </c>
      <c r="B2097" s="1323" t="s">
        <v>1081</v>
      </c>
      <c r="C2097" s="645" t="s">
        <v>444</v>
      </c>
      <c r="D2097" s="648">
        <v>0</v>
      </c>
    </row>
    <row r="2098" spans="1:4">
      <c r="A2098" s="107">
        <v>2</v>
      </c>
      <c r="B2098" s="1324"/>
      <c r="C2098" t="s">
        <v>445</v>
      </c>
      <c r="D2098" s="648">
        <v>0</v>
      </c>
    </row>
    <row r="2099" spans="1:4">
      <c r="A2099" s="107">
        <v>2</v>
      </c>
      <c r="B2099" s="1324"/>
      <c r="C2099" t="s">
        <v>446</v>
      </c>
      <c r="D2099" s="648">
        <v>73320.3</v>
      </c>
    </row>
    <row r="2100" spans="1:4">
      <c r="A2100" s="107">
        <v>2</v>
      </c>
      <c r="B2100" s="1324"/>
      <c r="C2100" t="s">
        <v>1253</v>
      </c>
      <c r="D2100" s="648">
        <v>0</v>
      </c>
    </row>
    <row r="2101" spans="1:4" ht="12.75" customHeight="1">
      <c r="A2101" s="107">
        <v>2</v>
      </c>
      <c r="B2101" s="1324"/>
      <c r="C2101" t="s">
        <v>421</v>
      </c>
      <c r="D2101" s="648">
        <v>0</v>
      </c>
    </row>
    <row r="2102" spans="1:4" ht="12.75" customHeight="1">
      <c r="A2102" s="107">
        <v>2</v>
      </c>
      <c r="B2102" s="1323" t="s">
        <v>1082</v>
      </c>
      <c r="C2102" t="s">
        <v>444</v>
      </c>
      <c r="D2102" s="648">
        <v>0</v>
      </c>
    </row>
    <row r="2103" spans="1:4">
      <c r="A2103" s="107">
        <v>2</v>
      </c>
      <c r="B2103" s="1324"/>
      <c r="C2103" t="s">
        <v>445</v>
      </c>
      <c r="D2103" s="648">
        <v>0</v>
      </c>
    </row>
    <row r="2104" spans="1:4">
      <c r="A2104" s="107">
        <v>2</v>
      </c>
      <c r="B2104" s="1324"/>
      <c r="C2104" t="s">
        <v>446</v>
      </c>
      <c r="D2104" s="648">
        <v>100966.39999999999</v>
      </c>
    </row>
    <row r="2105" spans="1:4">
      <c r="A2105" s="107">
        <v>2</v>
      </c>
      <c r="B2105" s="1324"/>
      <c r="C2105" t="s">
        <v>1253</v>
      </c>
      <c r="D2105" s="648">
        <v>0</v>
      </c>
    </row>
    <row r="2106" spans="1:4" ht="12.75" customHeight="1">
      <c r="A2106" s="107">
        <v>2</v>
      </c>
      <c r="B2106" s="1324"/>
      <c r="C2106" t="s">
        <v>421</v>
      </c>
      <c r="D2106" s="648">
        <v>0</v>
      </c>
    </row>
    <row r="2107" spans="1:4" ht="12.75" customHeight="1">
      <c r="A2107" s="107">
        <v>2</v>
      </c>
      <c r="B2107" s="1323" t="s">
        <v>1083</v>
      </c>
      <c r="C2107" t="s">
        <v>444</v>
      </c>
      <c r="D2107" s="648">
        <v>0</v>
      </c>
    </row>
    <row r="2108" spans="1:4">
      <c r="A2108" s="107">
        <v>2</v>
      </c>
      <c r="B2108" s="1324"/>
      <c r="C2108" t="s">
        <v>445</v>
      </c>
      <c r="D2108" s="648">
        <v>0</v>
      </c>
    </row>
    <row r="2109" spans="1:4">
      <c r="A2109" s="107">
        <v>2</v>
      </c>
      <c r="B2109" s="1324"/>
      <c r="C2109" t="s">
        <v>446</v>
      </c>
      <c r="D2109" s="648">
        <v>104835.2</v>
      </c>
    </row>
    <row r="2110" spans="1:4">
      <c r="A2110" s="107">
        <v>2</v>
      </c>
      <c r="B2110" s="1324"/>
      <c r="C2110" t="s">
        <v>1253</v>
      </c>
      <c r="D2110" s="648">
        <v>0</v>
      </c>
    </row>
    <row r="2111" spans="1:4" ht="12.75" customHeight="1">
      <c r="A2111" s="107">
        <v>2</v>
      </c>
      <c r="B2111" s="1324"/>
      <c r="C2111" t="s">
        <v>421</v>
      </c>
      <c r="D2111" s="648">
        <v>0</v>
      </c>
    </row>
    <row r="2112" spans="1:4" ht="12.75" customHeight="1">
      <c r="A2112" s="107">
        <v>2</v>
      </c>
      <c r="B2112" s="1323" t="s">
        <v>1085</v>
      </c>
      <c r="C2112" t="s">
        <v>444</v>
      </c>
      <c r="D2112" s="648">
        <v>0</v>
      </c>
    </row>
    <row r="2113" spans="1:4">
      <c r="A2113" s="107">
        <v>2</v>
      </c>
      <c r="B2113" s="1324"/>
      <c r="C2113" t="s">
        <v>445</v>
      </c>
      <c r="D2113" s="648">
        <v>0</v>
      </c>
    </row>
    <row r="2114" spans="1:4">
      <c r="A2114" s="107">
        <v>2</v>
      </c>
      <c r="B2114" s="1324"/>
      <c r="C2114" t="s">
        <v>446</v>
      </c>
      <c r="D2114" s="648">
        <v>87468.5</v>
      </c>
    </row>
    <row r="2115" spans="1:4">
      <c r="A2115" s="107">
        <v>2</v>
      </c>
      <c r="B2115" s="1324"/>
      <c r="C2115" t="s">
        <v>1253</v>
      </c>
      <c r="D2115" s="648">
        <v>0</v>
      </c>
    </row>
    <row r="2116" spans="1:4" ht="12.75" customHeight="1">
      <c r="A2116" s="107">
        <v>2</v>
      </c>
      <c r="B2116" s="1324"/>
      <c r="C2116" t="s">
        <v>421</v>
      </c>
      <c r="D2116" s="648">
        <v>0</v>
      </c>
    </row>
    <row r="2117" spans="1:4" ht="12.75" customHeight="1">
      <c r="A2117" s="107">
        <v>1</v>
      </c>
      <c r="B2117" s="1323" t="s">
        <v>1086</v>
      </c>
      <c r="C2117" t="s">
        <v>444</v>
      </c>
      <c r="D2117" s="648">
        <v>182101</v>
      </c>
    </row>
    <row r="2118" spans="1:4">
      <c r="A2118" s="107">
        <v>1</v>
      </c>
      <c r="B2118" s="1324"/>
      <c r="C2118" t="s">
        <v>445</v>
      </c>
      <c r="D2118" s="648">
        <v>0</v>
      </c>
    </row>
    <row r="2119" spans="1:4">
      <c r="A2119" s="107">
        <v>1</v>
      </c>
      <c r="B2119" s="1324"/>
      <c r="C2119" t="s">
        <v>446</v>
      </c>
      <c r="D2119" s="648">
        <v>5585.4</v>
      </c>
    </row>
    <row r="2120" spans="1:4">
      <c r="A2120" s="107">
        <v>1</v>
      </c>
      <c r="B2120" s="1324"/>
      <c r="C2120" t="s">
        <v>1253</v>
      </c>
      <c r="D2120" s="648">
        <v>0</v>
      </c>
    </row>
    <row r="2121" spans="1:4" ht="12.75" customHeight="1">
      <c r="A2121" s="107">
        <v>1</v>
      </c>
      <c r="B2121" s="1324"/>
      <c r="C2121" t="s">
        <v>421</v>
      </c>
      <c r="D2121" s="648">
        <v>0</v>
      </c>
    </row>
    <row r="2122" spans="1:4" ht="12.75" customHeight="1">
      <c r="A2122" s="107">
        <v>1</v>
      </c>
      <c r="B2122" s="1323" t="s">
        <v>1087</v>
      </c>
      <c r="C2122" t="s">
        <v>444</v>
      </c>
      <c r="D2122" s="648">
        <v>88107.7</v>
      </c>
    </row>
    <row r="2123" spans="1:4">
      <c r="A2123" s="107">
        <v>1</v>
      </c>
      <c r="B2123" s="1324"/>
      <c r="C2123" t="s">
        <v>445</v>
      </c>
      <c r="D2123" s="648">
        <v>0</v>
      </c>
    </row>
    <row r="2124" spans="1:4">
      <c r="A2124" s="107">
        <v>1</v>
      </c>
      <c r="B2124" s="1324"/>
      <c r="C2124" t="s">
        <v>446</v>
      </c>
      <c r="D2124" s="648">
        <v>25968.3</v>
      </c>
    </row>
    <row r="2125" spans="1:4">
      <c r="A2125" s="107">
        <v>1</v>
      </c>
      <c r="B2125" s="1324"/>
      <c r="C2125" t="s">
        <v>1253</v>
      </c>
      <c r="D2125" s="648">
        <v>0</v>
      </c>
    </row>
    <row r="2126" spans="1:4" ht="12.75" customHeight="1">
      <c r="A2126" s="107">
        <v>1</v>
      </c>
      <c r="B2126" s="1324"/>
      <c r="C2126" t="s">
        <v>421</v>
      </c>
      <c r="D2126" s="648">
        <v>0</v>
      </c>
    </row>
    <row r="2127" spans="1:4" ht="12.75" customHeight="1">
      <c r="A2127" s="107">
        <v>1</v>
      </c>
      <c r="B2127" s="1323" t="s">
        <v>1088</v>
      </c>
      <c r="C2127" t="s">
        <v>444</v>
      </c>
      <c r="D2127" s="648">
        <v>1557618.8</v>
      </c>
    </row>
    <row r="2128" spans="1:4">
      <c r="A2128" s="107">
        <v>1</v>
      </c>
      <c r="B2128" s="1324"/>
      <c r="C2128" t="s">
        <v>445</v>
      </c>
      <c r="D2128" s="648">
        <v>418009.7</v>
      </c>
    </row>
    <row r="2129" spans="1:4">
      <c r="A2129" s="107">
        <v>1</v>
      </c>
      <c r="B2129" s="1324"/>
      <c r="C2129" t="s">
        <v>446</v>
      </c>
      <c r="D2129" s="648">
        <v>135964.20000000001</v>
      </c>
    </row>
    <row r="2130" spans="1:4">
      <c r="A2130" s="107">
        <v>1</v>
      </c>
      <c r="B2130" s="1324"/>
      <c r="C2130" t="s">
        <v>1253</v>
      </c>
      <c r="D2130" s="648">
        <v>0</v>
      </c>
    </row>
    <row r="2131" spans="1:4" ht="12.75" customHeight="1">
      <c r="A2131" s="107">
        <v>1</v>
      </c>
      <c r="B2131" s="1324"/>
      <c r="C2131" t="s">
        <v>421</v>
      </c>
      <c r="D2131" s="648">
        <v>5413.5</v>
      </c>
    </row>
    <row r="2132" spans="1:4" ht="12.75" customHeight="1">
      <c r="A2132" s="107">
        <v>2</v>
      </c>
      <c r="B2132" s="1323" t="s">
        <v>1089</v>
      </c>
      <c r="C2132" t="s">
        <v>444</v>
      </c>
      <c r="D2132" s="648">
        <v>0</v>
      </c>
    </row>
    <row r="2133" spans="1:4">
      <c r="A2133" s="107">
        <v>2</v>
      </c>
      <c r="B2133" s="1324"/>
      <c r="C2133" t="s">
        <v>445</v>
      </c>
      <c r="D2133" s="648">
        <v>0</v>
      </c>
    </row>
    <row r="2134" spans="1:4">
      <c r="A2134" s="107">
        <v>2</v>
      </c>
      <c r="B2134" s="1324"/>
      <c r="C2134" t="s">
        <v>446</v>
      </c>
      <c r="D2134" s="648">
        <v>68032.7</v>
      </c>
    </row>
    <row r="2135" spans="1:4">
      <c r="A2135" s="107">
        <v>2</v>
      </c>
      <c r="B2135" s="1324"/>
      <c r="C2135" t="s">
        <v>1253</v>
      </c>
      <c r="D2135" s="648">
        <v>0</v>
      </c>
    </row>
    <row r="2136" spans="1:4" ht="12.75" customHeight="1">
      <c r="A2136" s="107">
        <v>2</v>
      </c>
      <c r="B2136" s="1324"/>
      <c r="C2136" t="s">
        <v>421</v>
      </c>
      <c r="D2136" s="648">
        <v>0</v>
      </c>
    </row>
    <row r="2137" spans="1:4" ht="12.75" customHeight="1">
      <c r="A2137" s="107">
        <v>1</v>
      </c>
      <c r="B2137" s="1323" t="s">
        <v>1090</v>
      </c>
      <c r="C2137" t="s">
        <v>444</v>
      </c>
      <c r="D2137" s="648">
        <v>1074776</v>
      </c>
    </row>
    <row r="2138" spans="1:4">
      <c r="A2138" s="107">
        <v>1</v>
      </c>
      <c r="B2138" s="1324"/>
      <c r="C2138" t="s">
        <v>445</v>
      </c>
      <c r="D2138" s="648">
        <v>327796.5</v>
      </c>
    </row>
    <row r="2139" spans="1:4">
      <c r="A2139" s="107">
        <v>1</v>
      </c>
      <c r="B2139" s="1324"/>
      <c r="C2139" t="s">
        <v>446</v>
      </c>
      <c r="D2139" s="648">
        <v>16884.599999999999</v>
      </c>
    </row>
    <row r="2140" spans="1:4">
      <c r="A2140" s="107">
        <v>1</v>
      </c>
      <c r="B2140" s="1324"/>
      <c r="C2140" t="s">
        <v>1253</v>
      </c>
      <c r="D2140" s="648">
        <v>0</v>
      </c>
    </row>
    <row r="2141" spans="1:4" ht="12.75" customHeight="1">
      <c r="A2141" s="107">
        <v>1</v>
      </c>
      <c r="B2141" s="1324"/>
      <c r="C2141" t="s">
        <v>421</v>
      </c>
      <c r="D2141" s="648">
        <v>29076.3</v>
      </c>
    </row>
    <row r="2142" spans="1:4" ht="12.75" customHeight="1">
      <c r="A2142" s="107">
        <v>1</v>
      </c>
      <c r="B2142" s="1323" t="s">
        <v>1091</v>
      </c>
      <c r="C2142" t="s">
        <v>444</v>
      </c>
      <c r="D2142" s="648">
        <v>33638.699999999997</v>
      </c>
    </row>
    <row r="2143" spans="1:4">
      <c r="A2143" s="107">
        <v>1</v>
      </c>
      <c r="B2143" s="1324"/>
      <c r="C2143" t="s">
        <v>445</v>
      </c>
      <c r="D2143" s="648">
        <v>0</v>
      </c>
    </row>
    <row r="2144" spans="1:4">
      <c r="A2144" s="107">
        <v>1</v>
      </c>
      <c r="B2144" s="1324"/>
      <c r="C2144" t="s">
        <v>446</v>
      </c>
      <c r="D2144" s="648">
        <v>37144.400000000001</v>
      </c>
    </row>
    <row r="2145" spans="1:4">
      <c r="A2145" s="107">
        <v>1</v>
      </c>
      <c r="B2145" s="1324"/>
      <c r="C2145" t="s">
        <v>1253</v>
      </c>
      <c r="D2145" s="648">
        <v>0</v>
      </c>
    </row>
    <row r="2146" spans="1:4">
      <c r="A2146" s="107">
        <v>1</v>
      </c>
      <c r="B2146" s="1324"/>
      <c r="C2146" t="s">
        <v>421</v>
      </c>
      <c r="D2146" s="648">
        <v>0</v>
      </c>
    </row>
    <row r="2147" spans="1:4">
      <c r="A2147" s="107">
        <v>1</v>
      </c>
      <c r="B2147" s="1323" t="s">
        <v>1092</v>
      </c>
      <c r="C2147" t="s">
        <v>444</v>
      </c>
      <c r="D2147" s="648">
        <v>948047.8</v>
      </c>
    </row>
    <row r="2148" spans="1:4">
      <c r="A2148" s="107">
        <v>1</v>
      </c>
      <c r="B2148" s="1324"/>
      <c r="C2148" t="s">
        <v>445</v>
      </c>
      <c r="D2148" s="648">
        <v>6336.3</v>
      </c>
    </row>
    <row r="2149" spans="1:4">
      <c r="A2149" s="107">
        <v>1</v>
      </c>
      <c r="B2149" s="1324"/>
      <c r="C2149" t="s">
        <v>446</v>
      </c>
      <c r="D2149" s="648">
        <v>20197.8</v>
      </c>
    </row>
    <row r="2150" spans="1:4">
      <c r="A2150" s="107">
        <v>1</v>
      </c>
      <c r="B2150" s="1324"/>
      <c r="C2150" t="s">
        <v>1253</v>
      </c>
      <c r="D2150" s="648">
        <v>0</v>
      </c>
    </row>
    <row r="2151" spans="1:4" ht="12.75" customHeight="1">
      <c r="A2151" s="107">
        <v>1</v>
      </c>
      <c r="B2151" s="1324"/>
      <c r="C2151" t="s">
        <v>421</v>
      </c>
      <c r="D2151" s="648">
        <v>29336.3</v>
      </c>
    </row>
    <row r="2152" spans="1:4" ht="12.75" customHeight="1">
      <c r="A2152" s="107">
        <v>1</v>
      </c>
      <c r="B2152" s="1323" t="s">
        <v>1093</v>
      </c>
      <c r="C2152" t="s">
        <v>444</v>
      </c>
      <c r="D2152" s="648">
        <v>176382.1</v>
      </c>
    </row>
    <row r="2153" spans="1:4">
      <c r="A2153" s="107">
        <v>1</v>
      </c>
      <c r="B2153" s="1324"/>
      <c r="C2153" t="s">
        <v>445</v>
      </c>
      <c r="D2153" s="648">
        <v>0</v>
      </c>
    </row>
    <row r="2154" spans="1:4">
      <c r="A2154" s="107">
        <v>1</v>
      </c>
      <c r="B2154" s="1324"/>
      <c r="C2154" t="s">
        <v>446</v>
      </c>
      <c r="D2154" s="648">
        <v>39304.800000000003</v>
      </c>
    </row>
    <row r="2155" spans="1:4">
      <c r="A2155" s="107">
        <v>1</v>
      </c>
      <c r="B2155" s="1324"/>
      <c r="C2155" t="s">
        <v>1253</v>
      </c>
      <c r="D2155" s="648">
        <v>0</v>
      </c>
    </row>
    <row r="2156" spans="1:4" ht="12.75" customHeight="1">
      <c r="A2156" s="107">
        <v>1</v>
      </c>
      <c r="B2156" s="1324"/>
      <c r="C2156" t="s">
        <v>421</v>
      </c>
      <c r="D2156" s="648">
        <v>0</v>
      </c>
    </row>
    <row r="2157" spans="1:4" ht="12.75" customHeight="1">
      <c r="A2157" s="107">
        <v>1</v>
      </c>
      <c r="B2157" s="1323" t="s">
        <v>1094</v>
      </c>
      <c r="C2157" t="s">
        <v>444</v>
      </c>
      <c r="D2157" s="648">
        <v>269165.2</v>
      </c>
    </row>
    <row r="2158" spans="1:4">
      <c r="A2158" s="107">
        <v>1</v>
      </c>
      <c r="B2158" s="1324"/>
      <c r="C2158" t="s">
        <v>445</v>
      </c>
      <c r="D2158" s="648">
        <v>0</v>
      </c>
    </row>
    <row r="2159" spans="1:4">
      <c r="A2159" s="107">
        <v>1</v>
      </c>
      <c r="B2159" s="1324"/>
      <c r="C2159" t="s">
        <v>446</v>
      </c>
      <c r="D2159" s="648">
        <v>50551.7</v>
      </c>
    </row>
    <row r="2160" spans="1:4">
      <c r="A2160" s="107">
        <v>1</v>
      </c>
      <c r="B2160" s="1324"/>
      <c r="C2160" t="s">
        <v>1253</v>
      </c>
      <c r="D2160" s="648">
        <v>0</v>
      </c>
    </row>
    <row r="2161" spans="1:4" ht="12.75" customHeight="1">
      <c r="A2161" s="107">
        <v>1</v>
      </c>
      <c r="B2161" s="1324"/>
      <c r="C2161" t="s">
        <v>421</v>
      </c>
      <c r="D2161" s="648">
        <v>11067.2</v>
      </c>
    </row>
    <row r="2162" spans="1:4" ht="12.75" customHeight="1">
      <c r="A2162" s="107">
        <v>1</v>
      </c>
      <c r="B2162" s="1323" t="s">
        <v>1095</v>
      </c>
      <c r="C2162" t="s">
        <v>444</v>
      </c>
      <c r="D2162" s="648">
        <v>287832.2</v>
      </c>
    </row>
    <row r="2163" spans="1:4">
      <c r="A2163" s="107">
        <v>1</v>
      </c>
      <c r="B2163" s="1324"/>
      <c r="C2163" t="s">
        <v>445</v>
      </c>
      <c r="D2163" s="648">
        <v>0</v>
      </c>
    </row>
    <row r="2164" spans="1:4">
      <c r="A2164" s="107">
        <v>1</v>
      </c>
      <c r="B2164" s="1324"/>
      <c r="C2164" t="s">
        <v>446</v>
      </c>
      <c r="D2164" s="648">
        <v>43638.9</v>
      </c>
    </row>
    <row r="2165" spans="1:4">
      <c r="A2165" s="107">
        <v>1</v>
      </c>
      <c r="B2165" s="1324"/>
      <c r="C2165" t="s">
        <v>1253</v>
      </c>
      <c r="D2165" s="648">
        <v>0</v>
      </c>
    </row>
    <row r="2166" spans="1:4" ht="12.75" customHeight="1">
      <c r="A2166" s="107">
        <v>1</v>
      </c>
      <c r="B2166" s="1324"/>
      <c r="C2166" t="s">
        <v>421</v>
      </c>
      <c r="D2166" s="648">
        <v>0</v>
      </c>
    </row>
    <row r="2167" spans="1:4" ht="12.75" customHeight="1">
      <c r="A2167" s="107">
        <v>4</v>
      </c>
      <c r="B2167" s="1323" t="s">
        <v>1096</v>
      </c>
      <c r="C2167" t="s">
        <v>444</v>
      </c>
      <c r="D2167" s="648">
        <v>925791.7</v>
      </c>
    </row>
    <row r="2168" spans="1:4">
      <c r="A2168" s="107">
        <v>4</v>
      </c>
      <c r="B2168" s="1324"/>
      <c r="C2168" t="s">
        <v>445</v>
      </c>
      <c r="D2168" s="648">
        <v>0</v>
      </c>
    </row>
    <row r="2169" spans="1:4">
      <c r="A2169" s="107">
        <v>4</v>
      </c>
      <c r="B2169" s="1324"/>
      <c r="C2169" t="s">
        <v>446</v>
      </c>
      <c r="D2169" s="648">
        <v>131687.9</v>
      </c>
    </row>
    <row r="2170" spans="1:4">
      <c r="A2170" s="107">
        <v>4</v>
      </c>
      <c r="B2170" s="1324"/>
      <c r="C2170" t="s">
        <v>1253</v>
      </c>
      <c r="D2170" s="648">
        <v>0</v>
      </c>
    </row>
    <row r="2171" spans="1:4">
      <c r="A2171" s="107">
        <v>4</v>
      </c>
      <c r="B2171" s="1324"/>
      <c r="C2171" t="s">
        <v>421</v>
      </c>
      <c r="D2171" s="648">
        <v>0</v>
      </c>
    </row>
    <row r="2172" spans="1:4">
      <c r="A2172" s="107">
        <v>1</v>
      </c>
      <c r="B2172" s="1323" t="s">
        <v>1097</v>
      </c>
      <c r="C2172" t="s">
        <v>444</v>
      </c>
      <c r="D2172" s="648">
        <v>162169.29999999999</v>
      </c>
    </row>
    <row r="2173" spans="1:4">
      <c r="A2173" s="107">
        <v>1</v>
      </c>
      <c r="B2173" s="1324"/>
      <c r="C2173" t="s">
        <v>445</v>
      </c>
      <c r="D2173" s="648">
        <v>27546.9</v>
      </c>
    </row>
    <row r="2174" spans="1:4">
      <c r="A2174" s="107">
        <v>1</v>
      </c>
      <c r="B2174" s="1324"/>
      <c r="C2174" t="s">
        <v>446</v>
      </c>
      <c r="D2174" s="648">
        <v>29977.200000000001</v>
      </c>
    </row>
    <row r="2175" spans="1:4">
      <c r="A2175" s="107">
        <v>1</v>
      </c>
      <c r="B2175" s="1324"/>
      <c r="C2175" t="s">
        <v>1253</v>
      </c>
      <c r="D2175" s="648">
        <v>0</v>
      </c>
    </row>
    <row r="2176" spans="1:4" ht="12.75" customHeight="1">
      <c r="A2176" s="107">
        <v>1</v>
      </c>
      <c r="B2176" s="1324"/>
      <c r="C2176" t="s">
        <v>421</v>
      </c>
      <c r="D2176" s="648">
        <v>0</v>
      </c>
    </row>
    <row r="2177" spans="1:4" ht="12.75" customHeight="1">
      <c r="A2177" s="107">
        <v>1</v>
      </c>
      <c r="B2177" s="1323" t="s">
        <v>1098</v>
      </c>
      <c r="C2177" t="s">
        <v>444</v>
      </c>
      <c r="D2177" s="648">
        <v>66066.7</v>
      </c>
    </row>
    <row r="2178" spans="1:4">
      <c r="A2178" s="107">
        <v>1</v>
      </c>
      <c r="B2178" s="1324"/>
      <c r="C2178" t="s">
        <v>445</v>
      </c>
      <c r="D2178" s="648">
        <v>41900.6</v>
      </c>
    </row>
    <row r="2179" spans="1:4">
      <c r="A2179" s="107">
        <v>1</v>
      </c>
      <c r="B2179" s="1324"/>
      <c r="C2179" t="s">
        <v>446</v>
      </c>
      <c r="D2179" s="648">
        <v>28948.400000000001</v>
      </c>
    </row>
    <row r="2180" spans="1:4">
      <c r="A2180" s="107">
        <v>1</v>
      </c>
      <c r="B2180" s="1324"/>
      <c r="C2180" t="s">
        <v>1253</v>
      </c>
      <c r="D2180" s="648">
        <v>0</v>
      </c>
    </row>
    <row r="2181" spans="1:4" ht="12.75" customHeight="1">
      <c r="A2181" s="107">
        <v>1</v>
      </c>
      <c r="B2181" s="1324"/>
      <c r="C2181" t="s">
        <v>421</v>
      </c>
      <c r="D2181" s="648">
        <v>0</v>
      </c>
    </row>
    <row r="2182" spans="1:4" ht="12.75" customHeight="1">
      <c r="A2182" s="107">
        <v>4</v>
      </c>
      <c r="B2182" s="1323" t="s">
        <v>1099</v>
      </c>
      <c r="C2182" t="s">
        <v>444</v>
      </c>
      <c r="D2182" s="648">
        <v>178413.9</v>
      </c>
    </row>
    <row r="2183" spans="1:4">
      <c r="A2183" s="107">
        <v>4</v>
      </c>
      <c r="B2183" s="1324"/>
      <c r="C2183" t="s">
        <v>445</v>
      </c>
      <c r="D2183" s="648">
        <v>0</v>
      </c>
    </row>
    <row r="2184" spans="1:4">
      <c r="A2184" s="107">
        <v>4</v>
      </c>
      <c r="B2184" s="1324"/>
      <c r="C2184" t="s">
        <v>446</v>
      </c>
      <c r="D2184" s="648">
        <v>30678.6</v>
      </c>
    </row>
    <row r="2185" spans="1:4">
      <c r="A2185" s="107">
        <v>4</v>
      </c>
      <c r="B2185" s="1324"/>
      <c r="C2185" t="s">
        <v>1253</v>
      </c>
      <c r="D2185" s="648">
        <v>0</v>
      </c>
    </row>
    <row r="2186" spans="1:4" ht="12.75" customHeight="1">
      <c r="A2186" s="107">
        <v>4</v>
      </c>
      <c r="B2186" s="1324"/>
      <c r="C2186" t="s">
        <v>421</v>
      </c>
      <c r="D2186" s="648">
        <v>0</v>
      </c>
    </row>
    <row r="2187" spans="1:4" ht="12.75" customHeight="1">
      <c r="A2187" s="107">
        <v>1</v>
      </c>
      <c r="B2187" s="1323" t="s">
        <v>1100</v>
      </c>
      <c r="C2187" t="s">
        <v>444</v>
      </c>
      <c r="D2187" s="648">
        <v>751617.3</v>
      </c>
    </row>
    <row r="2188" spans="1:4">
      <c r="A2188" s="107">
        <v>1</v>
      </c>
      <c r="B2188" s="1324"/>
      <c r="C2188" t="s">
        <v>445</v>
      </c>
      <c r="D2188" s="648">
        <v>0</v>
      </c>
    </row>
    <row r="2189" spans="1:4">
      <c r="A2189" s="107">
        <v>1</v>
      </c>
      <c r="B2189" s="1324"/>
      <c r="C2189" t="s">
        <v>446</v>
      </c>
      <c r="D2189" s="648">
        <v>6041.6</v>
      </c>
    </row>
    <row r="2190" spans="1:4">
      <c r="A2190" s="107">
        <v>1</v>
      </c>
      <c r="B2190" s="1324"/>
      <c r="C2190" t="s">
        <v>1253</v>
      </c>
      <c r="D2190" s="648">
        <v>0</v>
      </c>
    </row>
    <row r="2191" spans="1:4">
      <c r="A2191" s="107">
        <v>1</v>
      </c>
      <c r="B2191" s="1324"/>
      <c r="C2191" t="s">
        <v>421</v>
      </c>
      <c r="D2191" s="648">
        <v>17142.7</v>
      </c>
    </row>
    <row r="2192" spans="1:4">
      <c r="A2192" s="107">
        <v>4</v>
      </c>
      <c r="B2192" s="1323" t="s">
        <v>1101</v>
      </c>
      <c r="C2192" t="s">
        <v>444</v>
      </c>
      <c r="D2192" s="648">
        <v>399480.1</v>
      </c>
    </row>
    <row r="2193" spans="1:4">
      <c r="A2193" s="107">
        <v>4</v>
      </c>
      <c r="B2193" s="1324"/>
      <c r="C2193" t="s">
        <v>445</v>
      </c>
      <c r="D2193" s="648">
        <v>0</v>
      </c>
    </row>
    <row r="2194" spans="1:4">
      <c r="A2194" s="107">
        <v>4</v>
      </c>
      <c r="B2194" s="1324"/>
      <c r="C2194" t="s">
        <v>446</v>
      </c>
      <c r="D2194" s="648">
        <v>66721</v>
      </c>
    </row>
    <row r="2195" spans="1:4">
      <c r="A2195" s="107">
        <v>4</v>
      </c>
      <c r="B2195" s="1324"/>
      <c r="C2195" t="s">
        <v>1253</v>
      </c>
      <c r="D2195" s="648">
        <v>0</v>
      </c>
    </row>
    <row r="2196" spans="1:4" ht="12.75" customHeight="1">
      <c r="A2196" s="107">
        <v>4</v>
      </c>
      <c r="B2196" s="1324"/>
      <c r="C2196" t="s">
        <v>421</v>
      </c>
      <c r="D2196" s="648">
        <v>0</v>
      </c>
    </row>
    <row r="2197" spans="1:4" ht="12.75" customHeight="1">
      <c r="A2197" s="107">
        <v>3</v>
      </c>
      <c r="B2197" s="1323" t="s">
        <v>1102</v>
      </c>
      <c r="C2197" t="s">
        <v>444</v>
      </c>
      <c r="D2197" s="648">
        <v>63073.1</v>
      </c>
    </row>
    <row r="2198" spans="1:4">
      <c r="A2198" s="107">
        <v>3</v>
      </c>
      <c r="B2198" s="1324"/>
      <c r="C2198" t="s">
        <v>445</v>
      </c>
      <c r="D2198" s="648">
        <v>0</v>
      </c>
    </row>
    <row r="2199" spans="1:4">
      <c r="A2199" s="107">
        <v>3</v>
      </c>
      <c r="B2199" s="1324"/>
      <c r="C2199" t="s">
        <v>446</v>
      </c>
      <c r="D2199" s="648">
        <v>7459.6</v>
      </c>
    </row>
    <row r="2200" spans="1:4">
      <c r="A2200" s="107">
        <v>3</v>
      </c>
      <c r="B2200" s="1324"/>
      <c r="C2200" t="s">
        <v>1253</v>
      </c>
      <c r="D2200" s="648">
        <v>0</v>
      </c>
    </row>
    <row r="2201" spans="1:4" ht="12.75" customHeight="1">
      <c r="A2201" s="107">
        <v>3</v>
      </c>
      <c r="B2201" s="1324"/>
      <c r="C2201" t="s">
        <v>421</v>
      </c>
      <c r="D2201" s="648">
        <v>0</v>
      </c>
    </row>
    <row r="2202" spans="1:4" ht="12.75" customHeight="1">
      <c r="A2202" s="107">
        <v>2</v>
      </c>
      <c r="B2202" s="1323" t="s">
        <v>1103</v>
      </c>
      <c r="C2202" t="s">
        <v>444</v>
      </c>
      <c r="D2202" s="648">
        <v>0</v>
      </c>
    </row>
    <row r="2203" spans="1:4">
      <c r="A2203" s="107">
        <v>2</v>
      </c>
      <c r="B2203" s="1324"/>
      <c r="C2203" t="s">
        <v>445</v>
      </c>
      <c r="D2203" s="648">
        <v>0</v>
      </c>
    </row>
    <row r="2204" spans="1:4">
      <c r="A2204" s="107">
        <v>2</v>
      </c>
      <c r="B2204" s="1324"/>
      <c r="C2204" t="s">
        <v>446</v>
      </c>
      <c r="D2204" s="648">
        <v>311531.40000000002</v>
      </c>
    </row>
    <row r="2205" spans="1:4">
      <c r="A2205" s="107">
        <v>2</v>
      </c>
      <c r="B2205" s="1324"/>
      <c r="C2205" t="s">
        <v>1253</v>
      </c>
      <c r="D2205" s="648">
        <v>0</v>
      </c>
    </row>
    <row r="2206" spans="1:4" ht="12.75" customHeight="1">
      <c r="A2206" s="107">
        <v>2</v>
      </c>
      <c r="B2206" s="1324"/>
      <c r="C2206" t="s">
        <v>421</v>
      </c>
      <c r="D2206" s="648">
        <v>0</v>
      </c>
    </row>
    <row r="2207" spans="1:4" ht="12.75" customHeight="1">
      <c r="A2207" s="107">
        <v>1</v>
      </c>
      <c r="B2207" s="1323" t="s">
        <v>1104</v>
      </c>
      <c r="C2207" t="s">
        <v>444</v>
      </c>
      <c r="D2207" s="648">
        <v>65507.5</v>
      </c>
    </row>
    <row r="2208" spans="1:4">
      <c r="A2208" s="107">
        <v>1</v>
      </c>
      <c r="B2208" s="1324"/>
      <c r="C2208" t="s">
        <v>445</v>
      </c>
      <c r="D2208" s="648">
        <v>0</v>
      </c>
    </row>
    <row r="2209" spans="1:4">
      <c r="A2209" s="107">
        <v>1</v>
      </c>
      <c r="B2209" s="1324"/>
      <c r="C2209" t="s">
        <v>446</v>
      </c>
      <c r="D2209" s="648">
        <v>4600.5</v>
      </c>
    </row>
    <row r="2210" spans="1:4">
      <c r="A2210" s="107">
        <v>1</v>
      </c>
      <c r="B2210" s="1324"/>
      <c r="C2210" t="s">
        <v>1253</v>
      </c>
      <c r="D2210" s="648">
        <v>0</v>
      </c>
    </row>
    <row r="2211" spans="1:4" ht="12.75" customHeight="1">
      <c r="A2211" s="107">
        <v>1</v>
      </c>
      <c r="B2211" s="1324"/>
      <c r="C2211" t="s">
        <v>421</v>
      </c>
      <c r="D2211" s="648">
        <v>0</v>
      </c>
    </row>
    <row r="2212" spans="1:4" ht="12.75" customHeight="1">
      <c r="A2212" s="107">
        <v>2</v>
      </c>
      <c r="B2212" s="1323" t="s">
        <v>1105</v>
      </c>
      <c r="C2212" t="s">
        <v>444</v>
      </c>
      <c r="D2212" s="648">
        <v>0</v>
      </c>
    </row>
    <row r="2213" spans="1:4">
      <c r="A2213" s="107">
        <v>2</v>
      </c>
      <c r="B2213" s="1324"/>
      <c r="C2213" t="s">
        <v>445</v>
      </c>
      <c r="D2213" s="648">
        <v>0</v>
      </c>
    </row>
    <row r="2214" spans="1:4">
      <c r="A2214" s="107">
        <v>2</v>
      </c>
      <c r="B2214" s="1324"/>
      <c r="C2214" t="s">
        <v>446</v>
      </c>
      <c r="D2214" s="648">
        <v>158394.79999999999</v>
      </c>
    </row>
    <row r="2215" spans="1:4">
      <c r="A2215" s="107">
        <v>2</v>
      </c>
      <c r="B2215" s="1324"/>
      <c r="C2215" t="s">
        <v>1253</v>
      </c>
      <c r="D2215" s="648">
        <v>0</v>
      </c>
    </row>
    <row r="2216" spans="1:4" ht="12.75" customHeight="1">
      <c r="A2216" s="107">
        <v>2</v>
      </c>
      <c r="B2216" s="1324"/>
      <c r="C2216" t="s">
        <v>421</v>
      </c>
      <c r="D2216" s="648">
        <v>0</v>
      </c>
    </row>
    <row r="2217" spans="1:4" ht="12.75" customHeight="1">
      <c r="A2217" s="107">
        <v>2</v>
      </c>
      <c r="B2217" s="1323" t="s">
        <v>1106</v>
      </c>
      <c r="C2217" t="s">
        <v>444</v>
      </c>
      <c r="D2217" s="648">
        <v>0</v>
      </c>
    </row>
    <row r="2218" spans="1:4">
      <c r="A2218" s="107">
        <v>2</v>
      </c>
      <c r="B2218" s="1324"/>
      <c r="C2218" t="s">
        <v>445</v>
      </c>
      <c r="D2218" s="648">
        <v>0</v>
      </c>
    </row>
    <row r="2219" spans="1:4">
      <c r="A2219" s="107">
        <v>2</v>
      </c>
      <c r="B2219" s="1324"/>
      <c r="C2219" t="s">
        <v>446</v>
      </c>
      <c r="D2219" s="648">
        <v>88328.6</v>
      </c>
    </row>
    <row r="2220" spans="1:4">
      <c r="A2220" s="107">
        <v>2</v>
      </c>
      <c r="B2220" s="1324"/>
      <c r="C2220" t="s">
        <v>1253</v>
      </c>
      <c r="D2220" s="648">
        <v>0</v>
      </c>
    </row>
    <row r="2221" spans="1:4" ht="12.75" customHeight="1">
      <c r="A2221" s="107">
        <v>2</v>
      </c>
      <c r="B2221" s="1324"/>
      <c r="C2221" t="s">
        <v>421</v>
      </c>
      <c r="D2221" s="648">
        <v>0</v>
      </c>
    </row>
    <row r="2222" spans="1:4" ht="12.75" customHeight="1">
      <c r="A2222" s="107">
        <v>2</v>
      </c>
      <c r="B2222" s="1324" t="s">
        <v>2151</v>
      </c>
      <c r="C2222" t="s">
        <v>444</v>
      </c>
      <c r="D2222" s="648">
        <v>0</v>
      </c>
    </row>
    <row r="2223" spans="1:4" ht="12.75" customHeight="1">
      <c r="A2223" s="107">
        <v>2</v>
      </c>
      <c r="B2223" s="1324"/>
      <c r="C2223" t="s">
        <v>445</v>
      </c>
      <c r="D2223" s="648">
        <v>0</v>
      </c>
    </row>
    <row r="2224" spans="1:4" ht="12.75" customHeight="1">
      <c r="A2224" s="107">
        <v>2</v>
      </c>
      <c r="B2224" s="1324"/>
      <c r="C2224" t="s">
        <v>446</v>
      </c>
      <c r="D2224" s="648">
        <v>8028.9</v>
      </c>
    </row>
    <row r="2225" spans="1:4" ht="12.75" customHeight="1">
      <c r="A2225" s="107">
        <v>2</v>
      </c>
      <c r="B2225" s="1324"/>
      <c r="C2225" t="s">
        <v>1253</v>
      </c>
      <c r="D2225" s="648">
        <v>0</v>
      </c>
    </row>
    <row r="2226" spans="1:4" ht="12.75" customHeight="1">
      <c r="A2226" s="107">
        <v>2</v>
      </c>
      <c r="B2226" s="1324"/>
      <c r="C2226" t="s">
        <v>421</v>
      </c>
      <c r="D2226" s="648">
        <v>0</v>
      </c>
    </row>
    <row r="2227" spans="1:4" ht="12.75" customHeight="1">
      <c r="A2227" s="107">
        <v>2</v>
      </c>
      <c r="B2227" s="1324" t="s">
        <v>2152</v>
      </c>
      <c r="C2227" t="s">
        <v>444</v>
      </c>
      <c r="D2227" s="648">
        <v>14639.3</v>
      </c>
    </row>
    <row r="2228" spans="1:4" ht="12.75" customHeight="1">
      <c r="A2228" s="107">
        <v>2</v>
      </c>
      <c r="B2228" s="1324"/>
      <c r="C2228" t="s">
        <v>445</v>
      </c>
      <c r="D2228" s="648">
        <v>0</v>
      </c>
    </row>
    <row r="2229" spans="1:4" ht="12.75" customHeight="1">
      <c r="A2229" s="107">
        <v>2</v>
      </c>
      <c r="B2229" s="1324"/>
      <c r="C2229" t="s">
        <v>446</v>
      </c>
      <c r="D2229" s="648">
        <v>5410.7</v>
      </c>
    </row>
    <row r="2230" spans="1:4" ht="12.75" customHeight="1">
      <c r="A2230" s="107">
        <v>2</v>
      </c>
      <c r="B2230" s="1324"/>
      <c r="C2230" t="s">
        <v>1253</v>
      </c>
      <c r="D2230" s="648">
        <v>0</v>
      </c>
    </row>
    <row r="2231" spans="1:4" ht="12.75" customHeight="1">
      <c r="A2231" s="107">
        <v>2</v>
      </c>
      <c r="B2231" s="1324"/>
      <c r="C2231" t="s">
        <v>421</v>
      </c>
      <c r="D2231" s="648">
        <v>0</v>
      </c>
    </row>
    <row r="2232" spans="1:4" ht="12.75" customHeight="1">
      <c r="A2232" s="107">
        <v>2</v>
      </c>
      <c r="B2232" s="1324" t="s">
        <v>1555</v>
      </c>
      <c r="C2232" t="s">
        <v>444</v>
      </c>
      <c r="D2232" s="648">
        <v>0</v>
      </c>
    </row>
    <row r="2233" spans="1:4">
      <c r="A2233" s="107">
        <v>2</v>
      </c>
      <c r="B2233" s="1324"/>
      <c r="C2233" t="s">
        <v>445</v>
      </c>
      <c r="D2233" s="648">
        <v>0</v>
      </c>
    </row>
    <row r="2234" spans="1:4">
      <c r="A2234" s="107">
        <v>2</v>
      </c>
      <c r="B2234" s="1324"/>
      <c r="C2234" t="s">
        <v>446</v>
      </c>
      <c r="D2234" s="648">
        <v>34398.699999999997</v>
      </c>
    </row>
    <row r="2235" spans="1:4">
      <c r="A2235" s="107">
        <v>2</v>
      </c>
      <c r="B2235" s="1324"/>
      <c r="C2235" t="s">
        <v>1253</v>
      </c>
      <c r="D2235" s="648">
        <v>0</v>
      </c>
    </row>
    <row r="2236" spans="1:4" ht="12.75" customHeight="1">
      <c r="A2236" s="107">
        <v>2</v>
      </c>
      <c r="B2236" s="1325"/>
      <c r="C2236" t="s">
        <v>421</v>
      </c>
      <c r="D2236" s="648">
        <v>0</v>
      </c>
    </row>
    <row r="2237" spans="1:4" ht="12.75" customHeight="1">
      <c r="A2237" s="107">
        <v>9</v>
      </c>
      <c r="B2237" s="1323" t="s">
        <v>2153</v>
      </c>
      <c r="C2237" t="s">
        <v>444</v>
      </c>
      <c r="D2237" s="648">
        <v>0</v>
      </c>
    </row>
    <row r="2238" spans="1:4" ht="12.75" customHeight="1">
      <c r="A2238" s="107">
        <v>9</v>
      </c>
      <c r="B2238" s="1324"/>
      <c r="C2238" t="s">
        <v>445</v>
      </c>
      <c r="D2238" s="648">
        <v>0</v>
      </c>
    </row>
    <row r="2239" spans="1:4" ht="12.75" customHeight="1">
      <c r="A2239" s="107">
        <v>9</v>
      </c>
      <c r="B2239" s="1324"/>
      <c r="C2239" t="s">
        <v>446</v>
      </c>
      <c r="D2239" s="648">
        <v>3287</v>
      </c>
    </row>
    <row r="2240" spans="1:4" ht="12.75" customHeight="1">
      <c r="A2240" s="107">
        <v>9</v>
      </c>
      <c r="B2240" s="1324"/>
      <c r="C2240" t="s">
        <v>1253</v>
      </c>
      <c r="D2240" s="648">
        <v>0</v>
      </c>
    </row>
    <row r="2241" spans="1:8" ht="12.75" customHeight="1">
      <c r="A2241" s="107">
        <v>9</v>
      </c>
      <c r="B2241" s="1325"/>
      <c r="C2241" t="s">
        <v>421</v>
      </c>
      <c r="D2241" s="648">
        <v>0</v>
      </c>
    </row>
    <row r="2242" spans="1:8" ht="12.75" customHeight="1">
      <c r="A2242" s="107">
        <v>2</v>
      </c>
      <c r="B2242" s="1323" t="s">
        <v>2154</v>
      </c>
      <c r="C2242" t="s">
        <v>444</v>
      </c>
      <c r="D2242" s="648">
        <v>0</v>
      </c>
    </row>
    <row r="2243" spans="1:8" ht="12.75" customHeight="1">
      <c r="A2243" s="107">
        <v>2</v>
      </c>
      <c r="B2243" s="1324"/>
      <c r="C2243" t="s">
        <v>445</v>
      </c>
      <c r="D2243" s="648">
        <v>0</v>
      </c>
    </row>
    <row r="2244" spans="1:8" ht="12.75" customHeight="1">
      <c r="A2244" s="107">
        <v>2</v>
      </c>
      <c r="B2244" s="1324"/>
      <c r="C2244" t="s">
        <v>446</v>
      </c>
      <c r="D2244" s="648">
        <v>29776.5</v>
      </c>
    </row>
    <row r="2245" spans="1:8" ht="12.75" customHeight="1">
      <c r="A2245" s="107">
        <v>2</v>
      </c>
      <c r="B2245" s="1324"/>
      <c r="C2245" t="s">
        <v>1253</v>
      </c>
      <c r="D2245" s="648">
        <v>0</v>
      </c>
    </row>
    <row r="2246" spans="1:8" ht="12.75" customHeight="1">
      <c r="A2246" s="107">
        <v>2</v>
      </c>
      <c r="B2246" s="1325"/>
      <c r="C2246" t="s">
        <v>421</v>
      </c>
      <c r="D2246" s="648">
        <v>0</v>
      </c>
    </row>
    <row r="2247" spans="1:8" s="645" customFormat="1" ht="12.75" customHeight="1">
      <c r="A2247" s="644">
        <v>1</v>
      </c>
      <c r="B2247" s="1323" t="s">
        <v>1107</v>
      </c>
      <c r="C2247" s="645" t="s">
        <v>444</v>
      </c>
      <c r="D2247" s="648">
        <v>900378</v>
      </c>
    </row>
    <row r="2248" spans="1:8">
      <c r="A2248" s="107">
        <v>1</v>
      </c>
      <c r="B2248" s="1324"/>
      <c r="C2248" t="s">
        <v>445</v>
      </c>
      <c r="D2248" s="648">
        <v>0</v>
      </c>
    </row>
    <row r="2249" spans="1:8">
      <c r="A2249" s="107">
        <v>1</v>
      </c>
      <c r="B2249" s="1324"/>
      <c r="C2249" t="s">
        <v>446</v>
      </c>
      <c r="D2249" s="648">
        <v>0</v>
      </c>
    </row>
    <row r="2250" spans="1:8">
      <c r="A2250" s="107">
        <v>1</v>
      </c>
      <c r="B2250" s="1324"/>
      <c r="C2250" t="s">
        <v>1253</v>
      </c>
      <c r="D2250" s="648">
        <v>0</v>
      </c>
    </row>
    <row r="2251" spans="1:8" ht="12.75" customHeight="1">
      <c r="A2251" s="107">
        <v>1</v>
      </c>
      <c r="B2251" s="1324"/>
      <c r="C2251" t="s">
        <v>421</v>
      </c>
      <c r="D2251" s="648">
        <v>0</v>
      </c>
    </row>
    <row r="2252" spans="1:8" ht="12.75" customHeight="1">
      <c r="A2252" s="107">
        <v>2</v>
      </c>
      <c r="B2252" s="1323" t="s">
        <v>1108</v>
      </c>
      <c r="C2252" t="s">
        <v>444</v>
      </c>
      <c r="D2252" s="648">
        <v>0</v>
      </c>
    </row>
    <row r="2253" spans="1:8">
      <c r="A2253" s="107">
        <v>2</v>
      </c>
      <c r="B2253" s="1324"/>
      <c r="C2253" t="s">
        <v>445</v>
      </c>
      <c r="D2253" s="648">
        <v>0</v>
      </c>
    </row>
    <row r="2254" spans="1:8">
      <c r="A2254" s="107">
        <v>2</v>
      </c>
      <c r="B2254" s="1324"/>
      <c r="C2254" t="s">
        <v>446</v>
      </c>
      <c r="D2254" s="648">
        <v>36989.699999999997</v>
      </c>
      <c r="H2254">
        <v>1</v>
      </c>
    </row>
    <row r="2255" spans="1:8">
      <c r="A2255" s="107">
        <v>2</v>
      </c>
      <c r="B2255" s="1324"/>
      <c r="C2255" t="s">
        <v>1253</v>
      </c>
      <c r="D2255" s="648">
        <v>0</v>
      </c>
    </row>
    <row r="2256" spans="1:8">
      <c r="A2256" s="107">
        <v>2</v>
      </c>
      <c r="B2256" s="1324"/>
      <c r="C2256" t="s">
        <v>421</v>
      </c>
      <c r="D2256" s="648">
        <v>0</v>
      </c>
    </row>
    <row r="2257" spans="1:4">
      <c r="A2257" s="107">
        <v>2</v>
      </c>
      <c r="B2257" s="1323" t="s">
        <v>1109</v>
      </c>
      <c r="C2257" t="s">
        <v>444</v>
      </c>
      <c r="D2257" s="648">
        <v>0</v>
      </c>
    </row>
    <row r="2258" spans="1:4">
      <c r="A2258" s="107">
        <v>2</v>
      </c>
      <c r="B2258" s="1324"/>
      <c r="C2258" t="s">
        <v>445</v>
      </c>
      <c r="D2258" s="648">
        <v>0</v>
      </c>
    </row>
    <row r="2259" spans="1:4">
      <c r="A2259" s="107">
        <v>2</v>
      </c>
      <c r="B2259" s="1324"/>
      <c r="C2259" t="s">
        <v>446</v>
      </c>
      <c r="D2259" s="648">
        <v>34791.9</v>
      </c>
    </row>
    <row r="2260" spans="1:4">
      <c r="A2260" s="107">
        <v>2</v>
      </c>
      <c r="B2260" s="1324"/>
      <c r="C2260" t="s">
        <v>1253</v>
      </c>
      <c r="D2260" s="648">
        <v>0</v>
      </c>
    </row>
    <row r="2261" spans="1:4" ht="12.75" customHeight="1">
      <c r="A2261" s="107">
        <v>2</v>
      </c>
      <c r="B2261" s="1324"/>
      <c r="C2261" t="s">
        <v>421</v>
      </c>
      <c r="D2261" s="648">
        <v>0</v>
      </c>
    </row>
    <row r="2262" spans="1:4" ht="12.75" customHeight="1">
      <c r="A2262" s="107">
        <v>2</v>
      </c>
      <c r="B2262" s="1323" t="s">
        <v>1110</v>
      </c>
      <c r="C2262" t="s">
        <v>444</v>
      </c>
      <c r="D2262" s="648">
        <v>0</v>
      </c>
    </row>
    <row r="2263" spans="1:4">
      <c r="A2263" s="107">
        <v>2</v>
      </c>
      <c r="B2263" s="1324"/>
      <c r="C2263" t="s">
        <v>445</v>
      </c>
      <c r="D2263" s="648">
        <v>0</v>
      </c>
    </row>
    <row r="2264" spans="1:4">
      <c r="A2264" s="107">
        <v>2</v>
      </c>
      <c r="B2264" s="1324"/>
      <c r="C2264" t="s">
        <v>446</v>
      </c>
      <c r="D2264" s="648">
        <v>12651.7</v>
      </c>
    </row>
    <row r="2265" spans="1:4">
      <c r="A2265" s="107">
        <v>2</v>
      </c>
      <c r="B2265" s="1324"/>
      <c r="C2265" t="s">
        <v>1253</v>
      </c>
      <c r="D2265" s="648">
        <v>0</v>
      </c>
    </row>
    <row r="2266" spans="1:4" ht="12.75" customHeight="1">
      <c r="A2266" s="107">
        <v>2</v>
      </c>
      <c r="B2266" s="1324"/>
      <c r="C2266" t="s">
        <v>421</v>
      </c>
      <c r="D2266" s="648">
        <v>0</v>
      </c>
    </row>
    <row r="2267" spans="1:4" ht="12.75" customHeight="1">
      <c r="A2267" s="107">
        <v>1</v>
      </c>
      <c r="B2267" s="1323" t="s">
        <v>1111</v>
      </c>
      <c r="C2267" t="s">
        <v>444</v>
      </c>
      <c r="D2267" s="648">
        <v>126181.5</v>
      </c>
    </row>
    <row r="2268" spans="1:4">
      <c r="A2268" s="107">
        <v>1</v>
      </c>
      <c r="B2268" s="1324"/>
      <c r="C2268" t="s">
        <v>445</v>
      </c>
      <c r="D2268" s="648">
        <v>0</v>
      </c>
    </row>
    <row r="2269" spans="1:4">
      <c r="A2269" s="107">
        <v>1</v>
      </c>
      <c r="B2269" s="1324"/>
      <c r="C2269" t="s">
        <v>446</v>
      </c>
      <c r="D2269" s="648">
        <v>115579.8</v>
      </c>
    </row>
    <row r="2270" spans="1:4">
      <c r="A2270" s="107">
        <v>1</v>
      </c>
      <c r="B2270" s="1324"/>
      <c r="C2270" t="s">
        <v>1253</v>
      </c>
      <c r="D2270" s="648">
        <v>0</v>
      </c>
    </row>
    <row r="2271" spans="1:4" ht="12.75" customHeight="1">
      <c r="A2271" s="107">
        <v>1</v>
      </c>
      <c r="B2271" s="1324"/>
      <c r="C2271" t="s">
        <v>421</v>
      </c>
      <c r="D2271" s="648">
        <v>12439.1</v>
      </c>
    </row>
    <row r="2272" spans="1:4" ht="12.75" customHeight="1">
      <c r="A2272" s="107">
        <v>1</v>
      </c>
      <c r="B2272" s="1323" t="s">
        <v>1112</v>
      </c>
      <c r="C2272" t="s">
        <v>444</v>
      </c>
      <c r="D2272" s="648">
        <v>714663.9</v>
      </c>
    </row>
    <row r="2273" spans="1:4">
      <c r="A2273" s="107">
        <v>1</v>
      </c>
      <c r="B2273" s="1324"/>
      <c r="C2273" t="s">
        <v>445</v>
      </c>
      <c r="D2273" s="648">
        <v>54137.2</v>
      </c>
    </row>
    <row r="2274" spans="1:4">
      <c r="A2274" s="107">
        <v>1</v>
      </c>
      <c r="B2274" s="1324"/>
      <c r="C2274" t="s">
        <v>446</v>
      </c>
      <c r="D2274" s="648">
        <v>0</v>
      </c>
    </row>
    <row r="2275" spans="1:4">
      <c r="A2275" s="107">
        <v>1</v>
      </c>
      <c r="B2275" s="1324"/>
      <c r="C2275" t="s">
        <v>1253</v>
      </c>
      <c r="D2275" s="648">
        <v>0</v>
      </c>
    </row>
    <row r="2276" spans="1:4">
      <c r="A2276" s="107">
        <v>1</v>
      </c>
      <c r="B2276" s="1324"/>
      <c r="C2276" t="s">
        <v>421</v>
      </c>
      <c r="D2276" s="648">
        <v>36278.199999999997</v>
      </c>
    </row>
    <row r="2277" spans="1:4">
      <c r="A2277" s="107">
        <v>2</v>
      </c>
      <c r="B2277" s="1323" t="s">
        <v>1113</v>
      </c>
      <c r="C2277" t="s">
        <v>444</v>
      </c>
      <c r="D2277" s="648">
        <v>0</v>
      </c>
    </row>
    <row r="2278" spans="1:4">
      <c r="A2278" s="107">
        <v>2</v>
      </c>
      <c r="B2278" s="1324"/>
      <c r="C2278" t="s">
        <v>445</v>
      </c>
      <c r="D2278" s="648">
        <v>0</v>
      </c>
    </row>
    <row r="2279" spans="1:4">
      <c r="A2279" s="107">
        <v>2</v>
      </c>
      <c r="B2279" s="1324"/>
      <c r="C2279" t="s">
        <v>446</v>
      </c>
      <c r="D2279" s="648">
        <v>19325.7</v>
      </c>
    </row>
    <row r="2280" spans="1:4">
      <c r="A2280" s="107">
        <v>2</v>
      </c>
      <c r="B2280" s="1324"/>
      <c r="C2280" t="s">
        <v>1253</v>
      </c>
      <c r="D2280" s="648">
        <v>0</v>
      </c>
    </row>
    <row r="2281" spans="1:4">
      <c r="A2281" s="107">
        <v>2</v>
      </c>
      <c r="B2281" s="1324"/>
      <c r="C2281" t="s">
        <v>421</v>
      </c>
      <c r="D2281" s="648">
        <v>0</v>
      </c>
    </row>
    <row r="2282" spans="1:4">
      <c r="A2282" s="107">
        <v>2</v>
      </c>
      <c r="B2282" s="1323" t="s">
        <v>1114</v>
      </c>
      <c r="C2282" t="s">
        <v>444</v>
      </c>
      <c r="D2282" s="648">
        <v>0</v>
      </c>
    </row>
    <row r="2283" spans="1:4">
      <c r="A2283" s="107">
        <v>2</v>
      </c>
      <c r="B2283" s="1324"/>
      <c r="C2283" t="s">
        <v>445</v>
      </c>
      <c r="D2283" s="648">
        <v>0</v>
      </c>
    </row>
    <row r="2284" spans="1:4">
      <c r="A2284" s="107">
        <v>2</v>
      </c>
      <c r="B2284" s="1324"/>
      <c r="C2284" t="s">
        <v>446</v>
      </c>
      <c r="D2284" s="648">
        <v>27580.7</v>
      </c>
    </row>
    <row r="2285" spans="1:4">
      <c r="A2285" s="107">
        <v>2</v>
      </c>
      <c r="B2285" s="1324"/>
      <c r="C2285" t="s">
        <v>1253</v>
      </c>
      <c r="D2285" s="648">
        <v>0</v>
      </c>
    </row>
    <row r="2286" spans="1:4">
      <c r="A2286" s="107">
        <v>2</v>
      </c>
      <c r="B2286" s="1324"/>
      <c r="C2286" t="s">
        <v>421</v>
      </c>
      <c r="D2286" s="648">
        <v>0</v>
      </c>
    </row>
    <row r="2287" spans="1:4">
      <c r="A2287" s="107">
        <v>2</v>
      </c>
      <c r="B2287" s="1323" t="s">
        <v>1115</v>
      </c>
      <c r="C2287" t="s">
        <v>444</v>
      </c>
      <c r="D2287" s="648">
        <v>0</v>
      </c>
    </row>
    <row r="2288" spans="1:4">
      <c r="A2288" s="107">
        <v>2</v>
      </c>
      <c r="B2288" s="1324"/>
      <c r="C2288" t="s">
        <v>445</v>
      </c>
      <c r="D2288" s="648">
        <v>0</v>
      </c>
    </row>
    <row r="2289" spans="1:4">
      <c r="A2289" s="107">
        <v>2</v>
      </c>
      <c r="B2289" s="1324"/>
      <c r="C2289" t="s">
        <v>446</v>
      </c>
      <c r="D2289" s="648">
        <v>10578.3</v>
      </c>
    </row>
    <row r="2290" spans="1:4">
      <c r="A2290" s="107">
        <v>2</v>
      </c>
      <c r="B2290" s="1324"/>
      <c r="C2290" t="s">
        <v>1253</v>
      </c>
      <c r="D2290" s="648">
        <v>0</v>
      </c>
    </row>
    <row r="2291" spans="1:4" ht="12.75" customHeight="1">
      <c r="A2291" s="107">
        <v>2</v>
      </c>
      <c r="B2291" s="1324"/>
      <c r="C2291" t="s">
        <v>421</v>
      </c>
      <c r="D2291" s="648">
        <v>0</v>
      </c>
    </row>
    <row r="2292" spans="1:4" ht="12.75" customHeight="1">
      <c r="A2292" s="107">
        <v>4</v>
      </c>
      <c r="B2292" s="1323" t="s">
        <v>1116</v>
      </c>
      <c r="C2292" t="s">
        <v>444</v>
      </c>
      <c r="D2292" s="648">
        <v>2627194.5</v>
      </c>
    </row>
    <row r="2293" spans="1:4">
      <c r="A2293" s="107">
        <v>4</v>
      </c>
      <c r="B2293" s="1324"/>
      <c r="C2293" t="s">
        <v>445</v>
      </c>
      <c r="D2293" s="648">
        <v>1133079.1000000001</v>
      </c>
    </row>
    <row r="2294" spans="1:4">
      <c r="A2294" s="107">
        <v>4</v>
      </c>
      <c r="B2294" s="1324"/>
      <c r="C2294" t="s">
        <v>446</v>
      </c>
      <c r="D2294" s="648">
        <v>65385</v>
      </c>
    </row>
    <row r="2295" spans="1:4">
      <c r="A2295" s="107">
        <v>4</v>
      </c>
      <c r="B2295" s="1324"/>
      <c r="C2295" t="s">
        <v>1253</v>
      </c>
      <c r="D2295" s="648">
        <v>0</v>
      </c>
    </row>
    <row r="2296" spans="1:4">
      <c r="A2296" s="107">
        <v>4</v>
      </c>
      <c r="B2296" s="1324"/>
      <c r="C2296" t="s">
        <v>421</v>
      </c>
      <c r="D2296" s="648">
        <v>101634.1</v>
      </c>
    </row>
    <row r="2297" spans="1:4">
      <c r="A2297" s="107">
        <v>1</v>
      </c>
      <c r="B2297" s="1323" t="s">
        <v>1117</v>
      </c>
      <c r="C2297" t="s">
        <v>444</v>
      </c>
      <c r="D2297" s="648">
        <v>94463.3</v>
      </c>
    </row>
    <row r="2298" spans="1:4">
      <c r="A2298" s="107">
        <v>1</v>
      </c>
      <c r="B2298" s="1324"/>
      <c r="C2298" t="s">
        <v>445</v>
      </c>
      <c r="D2298" s="648">
        <v>0</v>
      </c>
    </row>
    <row r="2299" spans="1:4">
      <c r="A2299" s="107">
        <v>1</v>
      </c>
      <c r="B2299" s="1324"/>
      <c r="C2299" t="s">
        <v>446</v>
      </c>
      <c r="D2299" s="648">
        <v>12438.5</v>
      </c>
    </row>
    <row r="2300" spans="1:4">
      <c r="A2300" s="107">
        <v>1</v>
      </c>
      <c r="B2300" s="1324"/>
      <c r="C2300" t="s">
        <v>1253</v>
      </c>
      <c r="D2300" s="648">
        <v>0</v>
      </c>
    </row>
    <row r="2301" spans="1:4" ht="12.75" customHeight="1">
      <c r="A2301" s="107">
        <v>1</v>
      </c>
      <c r="B2301" s="1324"/>
      <c r="C2301" t="s">
        <v>421</v>
      </c>
      <c r="D2301" s="648">
        <v>0</v>
      </c>
    </row>
    <row r="2302" spans="1:4" ht="12.75" customHeight="1">
      <c r="A2302" s="107">
        <v>3</v>
      </c>
      <c r="B2302" s="1324" t="s">
        <v>1118</v>
      </c>
      <c r="C2302" t="s">
        <v>444</v>
      </c>
      <c r="D2302" s="648">
        <v>0</v>
      </c>
    </row>
    <row r="2303" spans="1:4">
      <c r="A2303" s="107">
        <v>3</v>
      </c>
      <c r="B2303" s="1324"/>
      <c r="C2303" t="s">
        <v>445</v>
      </c>
      <c r="D2303" s="648">
        <v>0</v>
      </c>
    </row>
    <row r="2304" spans="1:4">
      <c r="A2304" s="107">
        <v>3</v>
      </c>
      <c r="B2304" s="1324"/>
      <c r="C2304" t="s">
        <v>446</v>
      </c>
      <c r="D2304" s="648">
        <v>35874.9</v>
      </c>
    </row>
    <row r="2305" spans="1:4">
      <c r="A2305" s="107">
        <v>3</v>
      </c>
      <c r="B2305" s="1324"/>
      <c r="C2305" t="s">
        <v>1253</v>
      </c>
      <c r="D2305" s="648">
        <v>0</v>
      </c>
    </row>
    <row r="2306" spans="1:4">
      <c r="A2306" s="107">
        <v>3</v>
      </c>
      <c r="B2306" s="1325"/>
      <c r="C2306" t="s">
        <v>421</v>
      </c>
      <c r="D2306" s="648">
        <v>0</v>
      </c>
    </row>
    <row r="2307" spans="1:4">
      <c r="A2307" s="107">
        <v>2</v>
      </c>
      <c r="B2307" s="1323" t="s">
        <v>1119</v>
      </c>
      <c r="C2307" t="s">
        <v>444</v>
      </c>
      <c r="D2307" s="648">
        <v>20270</v>
      </c>
    </row>
    <row r="2308" spans="1:4">
      <c r="A2308" s="107">
        <v>2</v>
      </c>
      <c r="B2308" s="1324"/>
      <c r="C2308" t="s">
        <v>445</v>
      </c>
      <c r="D2308" s="648">
        <v>7728.2</v>
      </c>
    </row>
    <row r="2309" spans="1:4">
      <c r="A2309" s="107">
        <v>2</v>
      </c>
      <c r="B2309" s="1324"/>
      <c r="C2309" t="s">
        <v>446</v>
      </c>
      <c r="D2309" s="648">
        <v>0</v>
      </c>
    </row>
    <row r="2310" spans="1:4">
      <c r="A2310" s="107">
        <v>2</v>
      </c>
      <c r="B2310" s="1324"/>
      <c r="C2310" t="s">
        <v>1253</v>
      </c>
      <c r="D2310" s="648">
        <v>0</v>
      </c>
    </row>
    <row r="2311" spans="1:4" ht="12.75" customHeight="1">
      <c r="A2311" s="107">
        <v>2</v>
      </c>
      <c r="B2311" s="1325"/>
      <c r="C2311" t="s">
        <v>421</v>
      </c>
      <c r="D2311" s="648">
        <v>0</v>
      </c>
    </row>
    <row r="2312" spans="1:4" ht="12.75" customHeight="1">
      <c r="A2312" s="107">
        <v>1</v>
      </c>
      <c r="B2312" s="1323" t="s">
        <v>1120</v>
      </c>
      <c r="C2312" t="s">
        <v>444</v>
      </c>
      <c r="D2312" s="648">
        <v>880.2</v>
      </c>
    </row>
    <row r="2313" spans="1:4">
      <c r="A2313" s="107">
        <v>1</v>
      </c>
      <c r="B2313" s="1324"/>
      <c r="C2313" t="s">
        <v>445</v>
      </c>
      <c r="D2313" s="648">
        <v>0</v>
      </c>
    </row>
    <row r="2314" spans="1:4">
      <c r="A2314" s="107">
        <v>1</v>
      </c>
      <c r="B2314" s="1324"/>
      <c r="C2314" t="s">
        <v>446</v>
      </c>
      <c r="D2314" s="648">
        <v>2341.8000000000002</v>
      </c>
    </row>
    <row r="2315" spans="1:4">
      <c r="A2315" s="107">
        <v>1</v>
      </c>
      <c r="B2315" s="1324"/>
      <c r="C2315" t="s">
        <v>1253</v>
      </c>
      <c r="D2315" s="648">
        <v>0</v>
      </c>
    </row>
    <row r="2316" spans="1:4" ht="12.75" customHeight="1">
      <c r="A2316" s="107">
        <v>1</v>
      </c>
      <c r="B2316" s="1325"/>
      <c r="C2316" t="s">
        <v>421</v>
      </c>
      <c r="D2316" s="648">
        <v>0</v>
      </c>
    </row>
    <row r="2317" spans="1:4" ht="12.75" customHeight="1">
      <c r="A2317" s="107">
        <v>2</v>
      </c>
      <c r="B2317" s="1323" t="s">
        <v>1121</v>
      </c>
      <c r="C2317" t="s">
        <v>444</v>
      </c>
      <c r="D2317" s="648">
        <v>0</v>
      </c>
    </row>
    <row r="2318" spans="1:4">
      <c r="A2318" s="107">
        <v>2</v>
      </c>
      <c r="B2318" s="1324"/>
      <c r="C2318" t="s">
        <v>445</v>
      </c>
      <c r="D2318" s="648">
        <v>0</v>
      </c>
    </row>
    <row r="2319" spans="1:4">
      <c r="A2319" s="107">
        <v>2</v>
      </c>
      <c r="B2319" s="1324"/>
      <c r="C2319" t="s">
        <v>446</v>
      </c>
      <c r="D2319" s="648">
        <v>232072.2</v>
      </c>
    </row>
    <row r="2320" spans="1:4">
      <c r="A2320" s="107">
        <v>2</v>
      </c>
      <c r="B2320" s="1324"/>
      <c r="C2320" t="s">
        <v>1253</v>
      </c>
      <c r="D2320" s="648">
        <v>0</v>
      </c>
    </row>
    <row r="2321" spans="1:4" ht="12.75" customHeight="1">
      <c r="A2321" s="107">
        <v>2</v>
      </c>
      <c r="B2321" s="1325"/>
      <c r="C2321" t="s">
        <v>421</v>
      </c>
      <c r="D2321" s="648">
        <v>0</v>
      </c>
    </row>
    <row r="2322" spans="1:4" ht="12.75" customHeight="1">
      <c r="A2322" s="107">
        <v>2</v>
      </c>
      <c r="B2322" s="1323" t="s">
        <v>1122</v>
      </c>
      <c r="C2322" t="s">
        <v>444</v>
      </c>
      <c r="D2322" s="648">
        <v>0</v>
      </c>
    </row>
    <row r="2323" spans="1:4">
      <c r="A2323" s="107">
        <v>2</v>
      </c>
      <c r="B2323" s="1324"/>
      <c r="C2323" t="s">
        <v>445</v>
      </c>
      <c r="D2323" s="648">
        <v>0</v>
      </c>
    </row>
    <row r="2324" spans="1:4">
      <c r="A2324" s="107">
        <v>2</v>
      </c>
      <c r="B2324" s="1324"/>
      <c r="C2324" t="s">
        <v>446</v>
      </c>
      <c r="D2324" s="648">
        <v>34968.400000000001</v>
      </c>
    </row>
    <row r="2325" spans="1:4">
      <c r="A2325" s="107">
        <v>2</v>
      </c>
      <c r="B2325" s="1324"/>
      <c r="C2325" t="s">
        <v>1253</v>
      </c>
      <c r="D2325" s="648">
        <v>0</v>
      </c>
    </row>
    <row r="2326" spans="1:4" ht="12.75" customHeight="1">
      <c r="A2326" s="107">
        <v>2</v>
      </c>
      <c r="B2326" s="1325"/>
      <c r="C2326" t="s">
        <v>421</v>
      </c>
      <c r="D2326" s="648">
        <v>0</v>
      </c>
    </row>
    <row r="2327" spans="1:4" ht="12.75" customHeight="1">
      <c r="A2327" s="107">
        <v>2</v>
      </c>
      <c r="B2327" s="1323" t="s">
        <v>1123</v>
      </c>
      <c r="C2327" t="s">
        <v>444</v>
      </c>
      <c r="D2327" s="648">
        <v>0</v>
      </c>
    </row>
    <row r="2328" spans="1:4">
      <c r="A2328" s="107">
        <v>2</v>
      </c>
      <c r="B2328" s="1324"/>
      <c r="C2328" t="s">
        <v>445</v>
      </c>
      <c r="D2328" s="648">
        <v>0</v>
      </c>
    </row>
    <row r="2329" spans="1:4">
      <c r="A2329" s="107">
        <v>2</v>
      </c>
      <c r="B2329" s="1324"/>
      <c r="C2329" t="s">
        <v>446</v>
      </c>
      <c r="D2329" s="648">
        <v>14432.2</v>
      </c>
    </row>
    <row r="2330" spans="1:4">
      <c r="A2330" s="107">
        <v>2</v>
      </c>
      <c r="B2330" s="1324"/>
      <c r="C2330" t="s">
        <v>1253</v>
      </c>
      <c r="D2330" s="648">
        <v>0</v>
      </c>
    </row>
    <row r="2331" spans="1:4" ht="12.75" customHeight="1">
      <c r="A2331" s="107">
        <v>2</v>
      </c>
      <c r="B2331" s="1325"/>
      <c r="C2331" t="s">
        <v>421</v>
      </c>
      <c r="D2331" s="648">
        <v>0</v>
      </c>
    </row>
    <row r="2332" spans="1:4" ht="12.75" customHeight="1">
      <c r="A2332" s="107">
        <v>5</v>
      </c>
      <c r="B2332" s="1323" t="s">
        <v>1124</v>
      </c>
      <c r="C2332" t="s">
        <v>444</v>
      </c>
      <c r="D2332" s="648">
        <v>157299.5</v>
      </c>
    </row>
    <row r="2333" spans="1:4">
      <c r="A2333" s="107">
        <v>5</v>
      </c>
      <c r="B2333" s="1324"/>
      <c r="C2333" t="s">
        <v>445</v>
      </c>
      <c r="D2333" s="648">
        <v>0</v>
      </c>
    </row>
    <row r="2334" spans="1:4">
      <c r="A2334" s="107">
        <v>5</v>
      </c>
      <c r="B2334" s="1324"/>
      <c r="C2334" t="s">
        <v>446</v>
      </c>
      <c r="D2334" s="648">
        <v>0</v>
      </c>
    </row>
    <row r="2335" spans="1:4">
      <c r="A2335" s="107">
        <v>5</v>
      </c>
      <c r="B2335" s="1324"/>
      <c r="C2335" t="s">
        <v>1253</v>
      </c>
      <c r="D2335" s="648">
        <v>0</v>
      </c>
    </row>
    <row r="2336" spans="1:4" ht="13.5" customHeight="1">
      <c r="A2336" s="107">
        <v>5</v>
      </c>
      <c r="B2336" s="1325"/>
      <c r="C2336" t="s">
        <v>421</v>
      </c>
      <c r="D2336" s="648">
        <v>0</v>
      </c>
    </row>
    <row r="2337" spans="1:4" ht="12.75" customHeight="1">
      <c r="A2337" s="107">
        <v>1</v>
      </c>
      <c r="B2337" s="1323" t="s">
        <v>1125</v>
      </c>
      <c r="C2337" t="s">
        <v>444</v>
      </c>
      <c r="D2337" s="648">
        <v>0</v>
      </c>
    </row>
    <row r="2338" spans="1:4">
      <c r="A2338" s="107">
        <v>1</v>
      </c>
      <c r="B2338" s="1324"/>
      <c r="C2338" t="s">
        <v>445</v>
      </c>
      <c r="D2338" s="648">
        <v>0</v>
      </c>
    </row>
    <row r="2339" spans="1:4">
      <c r="A2339" s="107">
        <v>1</v>
      </c>
      <c r="B2339" s="1324"/>
      <c r="C2339" t="s">
        <v>446</v>
      </c>
      <c r="D2339" s="648">
        <v>173831.5</v>
      </c>
    </row>
    <row r="2340" spans="1:4">
      <c r="A2340" s="107">
        <v>1</v>
      </c>
      <c r="B2340" s="1324"/>
      <c r="C2340" t="s">
        <v>1253</v>
      </c>
      <c r="D2340" s="648">
        <v>0</v>
      </c>
    </row>
    <row r="2341" spans="1:4" ht="12.75" customHeight="1">
      <c r="A2341" s="107">
        <v>1</v>
      </c>
      <c r="B2341" s="1325"/>
      <c r="C2341" t="s">
        <v>421</v>
      </c>
      <c r="D2341" s="648">
        <v>0</v>
      </c>
    </row>
    <row r="2342" spans="1:4" ht="12.75" customHeight="1">
      <c r="A2342" s="107">
        <v>4</v>
      </c>
      <c r="B2342" s="1323" t="s">
        <v>1126</v>
      </c>
      <c r="C2342" t="s">
        <v>444</v>
      </c>
      <c r="D2342" s="648">
        <v>1605871.5</v>
      </c>
    </row>
    <row r="2343" spans="1:4">
      <c r="A2343" s="107">
        <v>4</v>
      </c>
      <c r="B2343" s="1324"/>
      <c r="C2343" t="s">
        <v>445</v>
      </c>
      <c r="D2343" s="648">
        <v>0</v>
      </c>
    </row>
    <row r="2344" spans="1:4">
      <c r="A2344" s="107">
        <v>4</v>
      </c>
      <c r="B2344" s="1324"/>
      <c r="C2344" t="s">
        <v>446</v>
      </c>
      <c r="D2344" s="648">
        <v>73847.899999999994</v>
      </c>
    </row>
    <row r="2345" spans="1:4">
      <c r="A2345" s="107">
        <v>4</v>
      </c>
      <c r="B2345" s="1324"/>
      <c r="C2345" t="s">
        <v>1253</v>
      </c>
      <c r="D2345" s="648">
        <v>0</v>
      </c>
    </row>
    <row r="2346" spans="1:4" ht="12.75" customHeight="1">
      <c r="A2346" s="107">
        <v>4</v>
      </c>
      <c r="B2346" s="1325"/>
      <c r="C2346" t="s">
        <v>421</v>
      </c>
      <c r="D2346" s="648">
        <v>0</v>
      </c>
    </row>
    <row r="2347" spans="1:4" ht="12.75" customHeight="1">
      <c r="A2347" s="107">
        <v>1</v>
      </c>
      <c r="B2347" s="1323" t="s">
        <v>2155</v>
      </c>
      <c r="C2347" t="s">
        <v>444</v>
      </c>
      <c r="D2347" s="648">
        <v>15993.1</v>
      </c>
    </row>
    <row r="2348" spans="1:4" ht="12.75" customHeight="1">
      <c r="A2348" s="107">
        <v>1</v>
      </c>
      <c r="B2348" s="1324"/>
      <c r="C2348" t="s">
        <v>445</v>
      </c>
      <c r="D2348" s="648">
        <v>11596.4</v>
      </c>
    </row>
    <row r="2349" spans="1:4" ht="12.75" customHeight="1">
      <c r="A2349" s="107">
        <v>1</v>
      </c>
      <c r="B2349" s="1324"/>
      <c r="C2349" t="s">
        <v>446</v>
      </c>
      <c r="D2349" s="648">
        <v>0</v>
      </c>
    </row>
    <row r="2350" spans="1:4" ht="12.75" customHeight="1">
      <c r="A2350" s="107">
        <v>1</v>
      </c>
      <c r="B2350" s="1324"/>
      <c r="C2350" t="s">
        <v>1253</v>
      </c>
      <c r="D2350" s="648">
        <v>0</v>
      </c>
    </row>
    <row r="2351" spans="1:4" ht="12.75" customHeight="1">
      <c r="A2351" s="107">
        <v>1</v>
      </c>
      <c r="B2351" s="1325"/>
      <c r="C2351" t="s">
        <v>421</v>
      </c>
      <c r="D2351" s="648">
        <v>0</v>
      </c>
    </row>
    <row r="2352" spans="1:4" ht="12.75" customHeight="1">
      <c r="A2352" s="107">
        <v>2</v>
      </c>
      <c r="B2352" s="1323" t="s">
        <v>2156</v>
      </c>
      <c r="C2352" t="s">
        <v>444</v>
      </c>
      <c r="D2352" s="648">
        <v>0</v>
      </c>
    </row>
    <row r="2353" spans="1:4" ht="12.75" customHeight="1">
      <c r="A2353" s="107">
        <v>2</v>
      </c>
      <c r="B2353" s="1324"/>
      <c r="C2353" t="s">
        <v>445</v>
      </c>
      <c r="D2353" s="648">
        <v>0</v>
      </c>
    </row>
    <row r="2354" spans="1:4" ht="12.75" customHeight="1">
      <c r="A2354" s="107">
        <v>2</v>
      </c>
      <c r="B2354" s="1324"/>
      <c r="C2354" t="s">
        <v>446</v>
      </c>
      <c r="D2354" s="648">
        <v>9318.9</v>
      </c>
    </row>
    <row r="2355" spans="1:4" ht="12.75" customHeight="1">
      <c r="A2355" s="107">
        <v>2</v>
      </c>
      <c r="B2355" s="1324"/>
      <c r="C2355" t="s">
        <v>1253</v>
      </c>
      <c r="D2355" s="648">
        <v>0</v>
      </c>
    </row>
    <row r="2356" spans="1:4" ht="12.75" customHeight="1">
      <c r="A2356" s="107">
        <v>2</v>
      </c>
      <c r="B2356" s="1324"/>
      <c r="C2356" t="s">
        <v>421</v>
      </c>
      <c r="D2356" s="648">
        <v>0</v>
      </c>
    </row>
    <row r="2357" spans="1:4" ht="12.75" customHeight="1">
      <c r="A2357" s="107">
        <v>2</v>
      </c>
      <c r="B2357" s="1324" t="s">
        <v>2157</v>
      </c>
      <c r="C2357" t="s">
        <v>444</v>
      </c>
      <c r="D2357" s="648">
        <v>0</v>
      </c>
    </row>
    <row r="2358" spans="1:4" ht="12.75" customHeight="1">
      <c r="A2358" s="107">
        <v>2</v>
      </c>
      <c r="B2358" s="1324"/>
      <c r="C2358" t="s">
        <v>445</v>
      </c>
      <c r="D2358" s="648">
        <v>0</v>
      </c>
    </row>
    <row r="2359" spans="1:4" ht="12.75" customHeight="1">
      <c r="A2359" s="107">
        <v>2</v>
      </c>
      <c r="B2359" s="1324"/>
      <c r="C2359" t="s">
        <v>446</v>
      </c>
      <c r="D2359" s="648">
        <v>37338.9</v>
      </c>
    </row>
    <row r="2360" spans="1:4" ht="12.75" customHeight="1">
      <c r="A2360" s="107">
        <v>2</v>
      </c>
      <c r="B2360" s="1324"/>
      <c r="C2360" t="s">
        <v>1253</v>
      </c>
      <c r="D2360" s="648">
        <v>0</v>
      </c>
    </row>
    <row r="2361" spans="1:4" ht="12.75" customHeight="1">
      <c r="A2361" s="107">
        <v>2</v>
      </c>
      <c r="B2361" s="1325"/>
      <c r="C2361" t="s">
        <v>421</v>
      </c>
      <c r="D2361" s="648">
        <v>0</v>
      </c>
    </row>
    <row r="2362" spans="1:4" s="645" customFormat="1" ht="12.75" customHeight="1">
      <c r="A2362" s="644">
        <v>2</v>
      </c>
      <c r="B2362" s="1323" t="s">
        <v>1127</v>
      </c>
      <c r="C2362" s="645" t="s">
        <v>444</v>
      </c>
      <c r="D2362" s="648">
        <v>0</v>
      </c>
    </row>
    <row r="2363" spans="1:4">
      <c r="A2363" s="107">
        <v>2</v>
      </c>
      <c r="B2363" s="1324"/>
      <c r="C2363" t="s">
        <v>445</v>
      </c>
      <c r="D2363" s="648">
        <v>0</v>
      </c>
    </row>
    <row r="2364" spans="1:4">
      <c r="A2364" s="107">
        <v>2</v>
      </c>
      <c r="B2364" s="1324"/>
      <c r="C2364" t="s">
        <v>446</v>
      </c>
      <c r="D2364" s="648">
        <v>54965.5</v>
      </c>
    </row>
    <row r="2365" spans="1:4">
      <c r="A2365" s="107">
        <v>2</v>
      </c>
      <c r="B2365" s="1324"/>
      <c r="C2365" t="s">
        <v>1253</v>
      </c>
      <c r="D2365" s="648">
        <v>0</v>
      </c>
    </row>
    <row r="2366" spans="1:4" ht="12.75" customHeight="1">
      <c r="A2366" s="107">
        <v>2</v>
      </c>
      <c r="B2366" s="1325"/>
      <c r="C2366" t="s">
        <v>421</v>
      </c>
      <c r="D2366" s="648">
        <v>0</v>
      </c>
    </row>
    <row r="2367" spans="1:4" ht="12.75" customHeight="1">
      <c r="A2367" s="107">
        <v>1</v>
      </c>
      <c r="B2367" s="1323" t="s">
        <v>1128</v>
      </c>
      <c r="C2367" t="s">
        <v>444</v>
      </c>
      <c r="D2367" s="648">
        <v>1692824.1</v>
      </c>
    </row>
    <row r="2368" spans="1:4">
      <c r="A2368" s="107">
        <v>1</v>
      </c>
      <c r="B2368" s="1324"/>
      <c r="C2368" t="s">
        <v>445</v>
      </c>
      <c r="D2368" s="648">
        <v>410710.2</v>
      </c>
    </row>
    <row r="2369" spans="1:4">
      <c r="A2369" s="107">
        <v>1</v>
      </c>
      <c r="B2369" s="1324"/>
      <c r="C2369" t="s">
        <v>446</v>
      </c>
      <c r="D2369" s="648">
        <v>77652.5</v>
      </c>
    </row>
    <row r="2370" spans="1:4">
      <c r="A2370" s="107">
        <v>1</v>
      </c>
      <c r="B2370" s="1324"/>
      <c r="C2370" t="s">
        <v>1253</v>
      </c>
      <c r="D2370" s="648">
        <v>0</v>
      </c>
    </row>
    <row r="2371" spans="1:4" ht="12.75" customHeight="1">
      <c r="A2371" s="107">
        <v>1</v>
      </c>
      <c r="B2371" s="1325"/>
      <c r="C2371" t="s">
        <v>421</v>
      </c>
      <c r="D2371" s="648">
        <v>0</v>
      </c>
    </row>
    <row r="2372" spans="1:4" ht="12.75" customHeight="1">
      <c r="A2372" s="107">
        <v>1</v>
      </c>
      <c r="B2372" s="1323" t="s">
        <v>1129</v>
      </c>
      <c r="C2372" t="s">
        <v>444</v>
      </c>
      <c r="D2372" s="648">
        <v>590015.19999999995</v>
      </c>
    </row>
    <row r="2373" spans="1:4">
      <c r="A2373" s="107">
        <v>1</v>
      </c>
      <c r="B2373" s="1324"/>
      <c r="C2373" t="s">
        <v>445</v>
      </c>
      <c r="D2373" s="648">
        <v>0</v>
      </c>
    </row>
    <row r="2374" spans="1:4">
      <c r="A2374" s="107">
        <v>1</v>
      </c>
      <c r="B2374" s="1324"/>
      <c r="C2374" t="s">
        <v>446</v>
      </c>
      <c r="D2374" s="648">
        <v>16372.5</v>
      </c>
    </row>
    <row r="2375" spans="1:4">
      <c r="A2375" s="107">
        <v>1</v>
      </c>
      <c r="B2375" s="1324"/>
      <c r="C2375" t="s">
        <v>1253</v>
      </c>
      <c r="D2375" s="648">
        <v>0</v>
      </c>
    </row>
    <row r="2376" spans="1:4" ht="12.75" customHeight="1">
      <c r="A2376" s="107">
        <v>1</v>
      </c>
      <c r="B2376" s="1325"/>
      <c r="C2376" t="s">
        <v>421</v>
      </c>
      <c r="D2376" s="648">
        <v>43040</v>
      </c>
    </row>
    <row r="2377" spans="1:4" ht="12.75" customHeight="1">
      <c r="A2377" s="107">
        <v>2</v>
      </c>
      <c r="B2377" s="1323" t="s">
        <v>1130</v>
      </c>
      <c r="C2377" t="s">
        <v>444</v>
      </c>
      <c r="D2377" s="648">
        <v>0</v>
      </c>
    </row>
    <row r="2378" spans="1:4">
      <c r="A2378" s="107">
        <v>2</v>
      </c>
      <c r="B2378" s="1324"/>
      <c r="C2378" t="s">
        <v>445</v>
      </c>
      <c r="D2378" s="648">
        <v>0</v>
      </c>
    </row>
    <row r="2379" spans="1:4">
      <c r="A2379" s="107">
        <v>2</v>
      </c>
      <c r="B2379" s="1324"/>
      <c r="C2379" t="s">
        <v>446</v>
      </c>
      <c r="D2379" s="648">
        <v>31743</v>
      </c>
    </row>
    <row r="2380" spans="1:4">
      <c r="A2380" s="107">
        <v>2</v>
      </c>
      <c r="B2380" s="1324"/>
      <c r="C2380" t="s">
        <v>1253</v>
      </c>
      <c r="D2380" s="648">
        <v>0</v>
      </c>
    </row>
    <row r="2381" spans="1:4" ht="12.75" customHeight="1">
      <c r="A2381" s="107">
        <v>2</v>
      </c>
      <c r="B2381" s="1325"/>
      <c r="C2381" t="s">
        <v>421</v>
      </c>
      <c r="D2381" s="648">
        <v>0</v>
      </c>
    </row>
    <row r="2382" spans="1:4" ht="12.75" customHeight="1">
      <c r="A2382" s="107">
        <v>2</v>
      </c>
      <c r="B2382" s="1323" t="s">
        <v>1131</v>
      </c>
      <c r="C2382" t="s">
        <v>444</v>
      </c>
      <c r="D2382" s="648">
        <v>0</v>
      </c>
    </row>
    <row r="2383" spans="1:4">
      <c r="A2383" s="107">
        <v>2</v>
      </c>
      <c r="B2383" s="1324"/>
      <c r="C2383" t="s">
        <v>445</v>
      </c>
      <c r="D2383" s="648">
        <v>0</v>
      </c>
    </row>
    <row r="2384" spans="1:4">
      <c r="A2384" s="107">
        <v>2</v>
      </c>
      <c r="B2384" s="1324"/>
      <c r="C2384" t="s">
        <v>446</v>
      </c>
      <c r="D2384" s="648">
        <v>54734.2</v>
      </c>
    </row>
    <row r="2385" spans="1:4">
      <c r="A2385" s="107">
        <v>2</v>
      </c>
      <c r="B2385" s="1324"/>
      <c r="C2385" t="s">
        <v>1253</v>
      </c>
      <c r="D2385" s="648">
        <v>0</v>
      </c>
    </row>
    <row r="2386" spans="1:4">
      <c r="A2386" s="107">
        <v>2</v>
      </c>
      <c r="B2386" s="1325"/>
      <c r="C2386" t="s">
        <v>421</v>
      </c>
      <c r="D2386" s="648">
        <v>0</v>
      </c>
    </row>
    <row r="2387" spans="1:4">
      <c r="A2387" s="107">
        <v>1</v>
      </c>
      <c r="B2387" s="1323" t="s">
        <v>1132</v>
      </c>
      <c r="C2387" t="s">
        <v>444</v>
      </c>
      <c r="D2387" s="648">
        <v>572773</v>
      </c>
    </row>
    <row r="2388" spans="1:4">
      <c r="A2388" s="107">
        <v>1</v>
      </c>
      <c r="B2388" s="1324"/>
      <c r="C2388" t="s">
        <v>445</v>
      </c>
      <c r="D2388" s="648">
        <v>0</v>
      </c>
    </row>
    <row r="2389" spans="1:4">
      <c r="A2389" s="107">
        <v>1</v>
      </c>
      <c r="B2389" s="1324"/>
      <c r="C2389" t="s">
        <v>446</v>
      </c>
      <c r="D2389" s="648">
        <v>57920.6</v>
      </c>
    </row>
    <row r="2390" spans="1:4">
      <c r="A2390" s="107">
        <v>1</v>
      </c>
      <c r="B2390" s="1324"/>
      <c r="C2390" t="s">
        <v>1253</v>
      </c>
      <c r="D2390" s="648">
        <v>0</v>
      </c>
    </row>
    <row r="2391" spans="1:4">
      <c r="A2391" s="107">
        <v>1</v>
      </c>
      <c r="B2391" s="1325"/>
      <c r="C2391" t="s">
        <v>421</v>
      </c>
      <c r="D2391" s="648">
        <v>3213</v>
      </c>
    </row>
    <row r="2392" spans="1:4">
      <c r="A2392" s="107">
        <v>2</v>
      </c>
      <c r="B2392" s="1323" t="s">
        <v>1133</v>
      </c>
      <c r="C2392" t="s">
        <v>444</v>
      </c>
      <c r="D2392" s="648">
        <v>0</v>
      </c>
    </row>
    <row r="2393" spans="1:4">
      <c r="A2393" s="107">
        <v>2</v>
      </c>
      <c r="B2393" s="1324"/>
      <c r="C2393" t="s">
        <v>445</v>
      </c>
      <c r="D2393" s="648">
        <v>0</v>
      </c>
    </row>
    <row r="2394" spans="1:4">
      <c r="A2394" s="107">
        <v>2</v>
      </c>
      <c r="B2394" s="1324"/>
      <c r="C2394" t="s">
        <v>446</v>
      </c>
      <c r="D2394" s="648">
        <v>29458.400000000001</v>
      </c>
    </row>
    <row r="2395" spans="1:4">
      <c r="A2395" s="107">
        <v>2</v>
      </c>
      <c r="B2395" s="1324"/>
      <c r="C2395" t="s">
        <v>1253</v>
      </c>
      <c r="D2395" s="648">
        <v>0</v>
      </c>
    </row>
    <row r="2396" spans="1:4">
      <c r="A2396" s="107">
        <v>2</v>
      </c>
      <c r="B2396" s="1325"/>
      <c r="C2396" t="s">
        <v>421</v>
      </c>
      <c r="D2396" s="648">
        <v>0</v>
      </c>
    </row>
    <row r="2397" spans="1:4">
      <c r="A2397" s="107">
        <v>4</v>
      </c>
      <c r="B2397" s="1323" t="s">
        <v>1134</v>
      </c>
      <c r="C2397" t="s">
        <v>444</v>
      </c>
      <c r="D2397" s="648">
        <v>1353600.1</v>
      </c>
    </row>
    <row r="2398" spans="1:4">
      <c r="A2398" s="107">
        <v>4</v>
      </c>
      <c r="B2398" s="1324"/>
      <c r="C2398" t="s">
        <v>445</v>
      </c>
      <c r="D2398" s="648">
        <v>23746.7</v>
      </c>
    </row>
    <row r="2399" spans="1:4">
      <c r="A2399" s="107">
        <v>4</v>
      </c>
      <c r="B2399" s="1324"/>
      <c r="C2399" t="s">
        <v>446</v>
      </c>
      <c r="D2399" s="648">
        <v>64154.7</v>
      </c>
    </row>
    <row r="2400" spans="1:4">
      <c r="A2400" s="107">
        <v>4</v>
      </c>
      <c r="B2400" s="1324"/>
      <c r="C2400" t="s">
        <v>1253</v>
      </c>
      <c r="D2400" s="648">
        <v>0</v>
      </c>
    </row>
    <row r="2401" spans="1:4" ht="12.75" customHeight="1">
      <c r="A2401" s="107">
        <v>4</v>
      </c>
      <c r="B2401" s="1325"/>
      <c r="C2401" t="s">
        <v>421</v>
      </c>
      <c r="D2401" s="648">
        <v>0</v>
      </c>
    </row>
    <row r="2402" spans="1:4" ht="12.75" customHeight="1">
      <c r="A2402" s="107">
        <v>3</v>
      </c>
      <c r="B2402" s="1323" t="s">
        <v>1135</v>
      </c>
      <c r="C2402" t="s">
        <v>444</v>
      </c>
      <c r="D2402" s="648">
        <v>40936.5</v>
      </c>
    </row>
    <row r="2403" spans="1:4">
      <c r="A2403" s="107">
        <v>3</v>
      </c>
      <c r="B2403" s="1324"/>
      <c r="C2403" t="s">
        <v>445</v>
      </c>
      <c r="D2403" s="648">
        <v>0</v>
      </c>
    </row>
    <row r="2404" spans="1:4">
      <c r="A2404" s="107">
        <v>3</v>
      </c>
      <c r="B2404" s="1324"/>
      <c r="C2404" t="s">
        <v>446</v>
      </c>
      <c r="D2404" s="648">
        <v>23946.400000000001</v>
      </c>
    </row>
    <row r="2405" spans="1:4">
      <c r="A2405" s="107">
        <v>3</v>
      </c>
      <c r="B2405" s="1324"/>
      <c r="C2405" t="s">
        <v>1253</v>
      </c>
      <c r="D2405" s="648">
        <v>0</v>
      </c>
    </row>
    <row r="2406" spans="1:4" ht="12.75" customHeight="1">
      <c r="A2406" s="107">
        <v>3</v>
      </c>
      <c r="B2406" s="1325"/>
      <c r="C2406" t="s">
        <v>421</v>
      </c>
      <c r="D2406" s="648">
        <v>0</v>
      </c>
    </row>
    <row r="2407" spans="1:4" ht="12.75" customHeight="1">
      <c r="A2407" s="107">
        <v>4</v>
      </c>
      <c r="B2407" s="1323" t="s">
        <v>1136</v>
      </c>
      <c r="C2407" t="s">
        <v>444</v>
      </c>
      <c r="D2407" s="648">
        <v>454487.6</v>
      </c>
    </row>
    <row r="2408" spans="1:4">
      <c r="A2408" s="107">
        <v>4</v>
      </c>
      <c r="B2408" s="1324"/>
      <c r="C2408" t="s">
        <v>445</v>
      </c>
      <c r="D2408" s="648">
        <v>0</v>
      </c>
    </row>
    <row r="2409" spans="1:4">
      <c r="A2409" s="107">
        <v>4</v>
      </c>
      <c r="B2409" s="1324"/>
      <c r="C2409" t="s">
        <v>446</v>
      </c>
      <c r="D2409" s="648">
        <v>0</v>
      </c>
    </row>
    <row r="2410" spans="1:4">
      <c r="A2410" s="107">
        <v>4</v>
      </c>
      <c r="B2410" s="1324"/>
      <c r="C2410" t="s">
        <v>1253</v>
      </c>
      <c r="D2410" s="648">
        <v>0</v>
      </c>
    </row>
    <row r="2411" spans="1:4" ht="12.75" customHeight="1">
      <c r="A2411" s="107">
        <v>4</v>
      </c>
      <c r="B2411" s="1325"/>
      <c r="C2411" t="s">
        <v>421</v>
      </c>
      <c r="D2411" s="648">
        <v>0</v>
      </c>
    </row>
    <row r="2412" spans="1:4" ht="12.75" customHeight="1">
      <c r="A2412" s="107">
        <v>4</v>
      </c>
      <c r="B2412" s="1323" t="s">
        <v>1137</v>
      </c>
      <c r="C2412" t="s">
        <v>444</v>
      </c>
      <c r="D2412" s="648">
        <v>621948.69999999995</v>
      </c>
    </row>
    <row r="2413" spans="1:4">
      <c r="A2413" s="107">
        <v>4</v>
      </c>
      <c r="B2413" s="1324"/>
      <c r="C2413" t="s">
        <v>445</v>
      </c>
      <c r="D2413" s="648">
        <v>0</v>
      </c>
    </row>
    <row r="2414" spans="1:4">
      <c r="A2414" s="107">
        <v>4</v>
      </c>
      <c r="B2414" s="1324"/>
      <c r="C2414" t="s">
        <v>446</v>
      </c>
      <c r="D2414" s="648">
        <v>13176.6</v>
      </c>
    </row>
    <row r="2415" spans="1:4">
      <c r="A2415" s="107">
        <v>4</v>
      </c>
      <c r="B2415" s="1324"/>
      <c r="C2415" t="s">
        <v>1253</v>
      </c>
      <c r="D2415" s="648">
        <v>0</v>
      </c>
    </row>
    <row r="2416" spans="1:4" ht="12.75" customHeight="1">
      <c r="A2416" s="107">
        <v>4</v>
      </c>
      <c r="B2416" s="1325"/>
      <c r="C2416" t="s">
        <v>421</v>
      </c>
      <c r="D2416" s="648">
        <v>13598.9</v>
      </c>
    </row>
    <row r="2417" spans="1:4" ht="12.75" customHeight="1">
      <c r="A2417" s="107">
        <v>2</v>
      </c>
      <c r="B2417" s="1323" t="s">
        <v>1138</v>
      </c>
      <c r="C2417" t="s">
        <v>444</v>
      </c>
      <c r="D2417" s="648">
        <v>192314.5</v>
      </c>
    </row>
    <row r="2418" spans="1:4">
      <c r="A2418" s="107">
        <v>2</v>
      </c>
      <c r="B2418" s="1324"/>
      <c r="C2418" t="s">
        <v>445</v>
      </c>
      <c r="D2418" s="648">
        <v>10469.299999999999</v>
      </c>
    </row>
    <row r="2419" spans="1:4">
      <c r="A2419" s="107">
        <v>2</v>
      </c>
      <c r="B2419" s="1324"/>
      <c r="C2419" t="s">
        <v>446</v>
      </c>
      <c r="D2419" s="648">
        <v>37223.9</v>
      </c>
    </row>
    <row r="2420" spans="1:4">
      <c r="A2420" s="107">
        <v>2</v>
      </c>
      <c r="B2420" s="1324"/>
      <c r="C2420" t="s">
        <v>1253</v>
      </c>
      <c r="D2420" s="648">
        <v>0</v>
      </c>
    </row>
    <row r="2421" spans="1:4" ht="12.75" customHeight="1">
      <c r="A2421" s="107">
        <v>2</v>
      </c>
      <c r="B2421" s="1325"/>
      <c r="C2421" t="s">
        <v>421</v>
      </c>
      <c r="D2421" s="648">
        <v>0</v>
      </c>
    </row>
    <row r="2422" spans="1:4" ht="12.75" customHeight="1">
      <c r="A2422" s="107">
        <v>2</v>
      </c>
      <c r="B2422" s="1323" t="s">
        <v>1139</v>
      </c>
      <c r="C2422" t="s">
        <v>444</v>
      </c>
      <c r="D2422" s="648">
        <v>0</v>
      </c>
    </row>
    <row r="2423" spans="1:4">
      <c r="A2423" s="107">
        <v>2</v>
      </c>
      <c r="B2423" s="1324"/>
      <c r="C2423" t="s">
        <v>445</v>
      </c>
      <c r="D2423" s="648">
        <v>0</v>
      </c>
    </row>
    <row r="2424" spans="1:4" ht="18.75" customHeight="1">
      <c r="A2424" s="107">
        <v>2</v>
      </c>
      <c r="B2424" s="1324"/>
      <c r="C2424" t="s">
        <v>446</v>
      </c>
      <c r="D2424" s="648">
        <v>136986</v>
      </c>
    </row>
    <row r="2425" spans="1:4">
      <c r="A2425" s="107">
        <v>2</v>
      </c>
      <c r="B2425" s="1324"/>
      <c r="C2425" t="s">
        <v>1253</v>
      </c>
      <c r="D2425" s="648">
        <v>0</v>
      </c>
    </row>
    <row r="2426" spans="1:4" ht="12.75" customHeight="1">
      <c r="A2426" s="107">
        <v>2</v>
      </c>
      <c r="B2426" s="1325"/>
      <c r="C2426" t="s">
        <v>421</v>
      </c>
      <c r="D2426" s="648">
        <v>0</v>
      </c>
    </row>
    <row r="2427" spans="1:4" ht="12.75" customHeight="1">
      <c r="A2427" s="107">
        <v>2</v>
      </c>
      <c r="B2427" s="1323" t="s">
        <v>1140</v>
      </c>
      <c r="C2427" t="s">
        <v>444</v>
      </c>
      <c r="D2427" s="648">
        <v>12439.5</v>
      </c>
    </row>
    <row r="2428" spans="1:4">
      <c r="A2428" s="107">
        <v>2</v>
      </c>
      <c r="B2428" s="1324"/>
      <c r="C2428" t="s">
        <v>445</v>
      </c>
      <c r="D2428" s="648">
        <v>0</v>
      </c>
    </row>
    <row r="2429" spans="1:4">
      <c r="A2429" s="107">
        <v>2</v>
      </c>
      <c r="B2429" s="1324"/>
      <c r="C2429" t="s">
        <v>446</v>
      </c>
      <c r="D2429" s="648">
        <v>3487.6</v>
      </c>
    </row>
    <row r="2430" spans="1:4">
      <c r="A2430" s="107">
        <v>2</v>
      </c>
      <c r="B2430" s="1324"/>
      <c r="C2430" t="s">
        <v>1253</v>
      </c>
      <c r="D2430" s="648">
        <v>0</v>
      </c>
    </row>
    <row r="2431" spans="1:4" ht="12.75" customHeight="1">
      <c r="A2431" s="107">
        <v>2</v>
      </c>
      <c r="B2431" s="1325"/>
      <c r="C2431" t="s">
        <v>421</v>
      </c>
      <c r="D2431" s="648">
        <v>0</v>
      </c>
    </row>
    <row r="2432" spans="1:4" ht="12.75" customHeight="1">
      <c r="A2432" s="107">
        <v>1</v>
      </c>
      <c r="B2432" s="1323" t="s">
        <v>1141</v>
      </c>
      <c r="C2432" t="s">
        <v>444</v>
      </c>
      <c r="D2432" s="648">
        <v>116833.3</v>
      </c>
    </row>
    <row r="2433" spans="1:4">
      <c r="A2433" s="107">
        <v>1</v>
      </c>
      <c r="B2433" s="1324"/>
      <c r="C2433" t="s">
        <v>445</v>
      </c>
      <c r="D2433" s="648">
        <v>0</v>
      </c>
    </row>
    <row r="2434" spans="1:4">
      <c r="A2434" s="107">
        <v>1</v>
      </c>
      <c r="B2434" s="1324"/>
      <c r="C2434" t="s">
        <v>446</v>
      </c>
      <c r="D2434" s="648">
        <v>6951.3</v>
      </c>
    </row>
    <row r="2435" spans="1:4">
      <c r="A2435" s="107">
        <v>1</v>
      </c>
      <c r="B2435" s="1324"/>
      <c r="C2435" t="s">
        <v>1253</v>
      </c>
      <c r="D2435" s="648">
        <v>0</v>
      </c>
    </row>
    <row r="2436" spans="1:4" ht="12.75" customHeight="1">
      <c r="A2436" s="107">
        <v>1</v>
      </c>
      <c r="B2436" s="1325"/>
      <c r="C2436" t="s">
        <v>421</v>
      </c>
      <c r="D2436" s="648">
        <v>0</v>
      </c>
    </row>
    <row r="2437" spans="1:4" ht="12.75" customHeight="1">
      <c r="A2437" s="107">
        <v>2</v>
      </c>
      <c r="B2437" s="1323" t="s">
        <v>1142</v>
      </c>
      <c r="C2437" t="s">
        <v>444</v>
      </c>
      <c r="D2437" s="648">
        <v>0</v>
      </c>
    </row>
    <row r="2438" spans="1:4">
      <c r="A2438" s="107">
        <v>2</v>
      </c>
      <c r="B2438" s="1324"/>
      <c r="C2438" t="s">
        <v>445</v>
      </c>
      <c r="D2438" s="648">
        <v>0</v>
      </c>
    </row>
    <row r="2439" spans="1:4">
      <c r="A2439" s="107">
        <v>2</v>
      </c>
      <c r="B2439" s="1324"/>
      <c r="C2439" t="s">
        <v>446</v>
      </c>
      <c r="D2439" s="648">
        <v>224092.2</v>
      </c>
    </row>
    <row r="2440" spans="1:4">
      <c r="A2440" s="107">
        <v>2</v>
      </c>
      <c r="B2440" s="1324"/>
      <c r="C2440" t="s">
        <v>1253</v>
      </c>
      <c r="D2440" s="648">
        <v>0</v>
      </c>
    </row>
    <row r="2441" spans="1:4" ht="12.75" customHeight="1">
      <c r="A2441" s="107">
        <v>2</v>
      </c>
      <c r="B2441" s="1325"/>
      <c r="C2441" t="s">
        <v>421</v>
      </c>
      <c r="D2441" s="648">
        <v>0</v>
      </c>
    </row>
    <row r="2442" spans="1:4" ht="12.75" customHeight="1">
      <c r="A2442" s="107">
        <v>2</v>
      </c>
      <c r="B2442" s="1323" t="s">
        <v>2158</v>
      </c>
      <c r="C2442" t="s">
        <v>444</v>
      </c>
      <c r="D2442" s="648">
        <v>11180.5</v>
      </c>
    </row>
    <row r="2443" spans="1:4" ht="12.75" customHeight="1">
      <c r="A2443" s="107">
        <v>2</v>
      </c>
      <c r="B2443" s="1324"/>
      <c r="C2443" t="s">
        <v>445</v>
      </c>
      <c r="D2443" s="648">
        <v>89.2</v>
      </c>
    </row>
    <row r="2444" spans="1:4" ht="12.75" customHeight="1">
      <c r="A2444" s="107">
        <v>2</v>
      </c>
      <c r="B2444" s="1324"/>
      <c r="C2444" t="s">
        <v>446</v>
      </c>
      <c r="D2444" s="648">
        <v>2851.9</v>
      </c>
    </row>
    <row r="2445" spans="1:4" ht="12.75" customHeight="1">
      <c r="A2445" s="107">
        <v>2</v>
      </c>
      <c r="B2445" s="1324"/>
      <c r="C2445" t="s">
        <v>1253</v>
      </c>
      <c r="D2445" s="648">
        <v>0</v>
      </c>
    </row>
    <row r="2446" spans="1:4" ht="12.75" customHeight="1">
      <c r="A2446" s="107">
        <v>2</v>
      </c>
      <c r="B2446" s="1325"/>
      <c r="C2446" t="s">
        <v>421</v>
      </c>
      <c r="D2446" s="648">
        <v>0</v>
      </c>
    </row>
    <row r="2447" spans="1:4" ht="12.75" customHeight="1">
      <c r="A2447" s="107">
        <v>2</v>
      </c>
      <c r="B2447" s="1323" t="s">
        <v>2159</v>
      </c>
      <c r="C2447" t="s">
        <v>444</v>
      </c>
      <c r="D2447" s="648">
        <v>143326.39999999999</v>
      </c>
    </row>
    <row r="2448" spans="1:4" ht="12.75" customHeight="1">
      <c r="A2448" s="107">
        <v>2</v>
      </c>
      <c r="B2448" s="1324"/>
      <c r="C2448" t="s">
        <v>445</v>
      </c>
      <c r="D2448" s="648">
        <v>123064.5</v>
      </c>
    </row>
    <row r="2449" spans="1:4" ht="12.75" customHeight="1">
      <c r="A2449" s="107">
        <v>2</v>
      </c>
      <c r="B2449" s="1324"/>
      <c r="C2449" t="s">
        <v>446</v>
      </c>
      <c r="D2449" s="648">
        <v>0</v>
      </c>
    </row>
    <row r="2450" spans="1:4" ht="12.75" customHeight="1">
      <c r="A2450" s="107">
        <v>2</v>
      </c>
      <c r="B2450" s="1324"/>
      <c r="C2450" t="s">
        <v>1253</v>
      </c>
      <c r="D2450" s="648">
        <v>0</v>
      </c>
    </row>
    <row r="2451" spans="1:4" ht="12.75" customHeight="1">
      <c r="A2451" s="107">
        <v>2</v>
      </c>
      <c r="B2451" s="1325"/>
      <c r="C2451" t="s">
        <v>421</v>
      </c>
      <c r="D2451" s="648">
        <v>0</v>
      </c>
    </row>
    <row r="2452" spans="1:4" ht="12.75" customHeight="1">
      <c r="A2452" s="107">
        <v>2</v>
      </c>
      <c r="B2452" s="1323" t="s">
        <v>2159</v>
      </c>
      <c r="C2452" t="s">
        <v>444</v>
      </c>
      <c r="D2452" s="648">
        <v>14592.8</v>
      </c>
    </row>
    <row r="2453" spans="1:4" ht="12.75" customHeight="1">
      <c r="A2453" s="107">
        <v>2</v>
      </c>
      <c r="B2453" s="1324"/>
      <c r="C2453" t="s">
        <v>445</v>
      </c>
      <c r="D2453" s="648">
        <v>430.9</v>
      </c>
    </row>
    <row r="2454" spans="1:4" ht="12.75" customHeight="1">
      <c r="A2454" s="107">
        <v>2</v>
      </c>
      <c r="B2454" s="1324"/>
      <c r="C2454" t="s">
        <v>446</v>
      </c>
      <c r="D2454" s="648">
        <v>3206.2</v>
      </c>
    </row>
    <row r="2455" spans="1:4" ht="12.75" customHeight="1">
      <c r="A2455" s="107">
        <v>2</v>
      </c>
      <c r="B2455" s="1324"/>
      <c r="C2455" t="s">
        <v>1253</v>
      </c>
      <c r="D2455" s="648">
        <v>0</v>
      </c>
    </row>
    <row r="2456" spans="1:4" ht="12.75" customHeight="1">
      <c r="A2456" s="107">
        <v>2</v>
      </c>
      <c r="B2456" s="1325"/>
      <c r="C2456" t="s">
        <v>421</v>
      </c>
      <c r="D2456" s="648">
        <v>0</v>
      </c>
    </row>
    <row r="2457" spans="1:4" ht="12.75" customHeight="1">
      <c r="A2457" s="646">
        <v>9</v>
      </c>
      <c r="B2457" s="1323" t="s">
        <v>2160</v>
      </c>
      <c r="C2457" t="s">
        <v>444</v>
      </c>
      <c r="D2457" s="648">
        <v>0</v>
      </c>
    </row>
    <row r="2458" spans="1:4" ht="12.75" customHeight="1">
      <c r="A2458" s="646">
        <v>9</v>
      </c>
      <c r="B2458" s="1324"/>
      <c r="C2458" t="s">
        <v>445</v>
      </c>
      <c r="D2458" s="648">
        <v>0</v>
      </c>
    </row>
    <row r="2459" spans="1:4" ht="12.75" customHeight="1">
      <c r="A2459" s="646">
        <v>9</v>
      </c>
      <c r="B2459" s="1324"/>
      <c r="C2459" t="s">
        <v>446</v>
      </c>
      <c r="D2459" s="648">
        <v>17251.599999999999</v>
      </c>
    </row>
    <row r="2460" spans="1:4" ht="12.75" customHeight="1">
      <c r="A2460" s="646">
        <v>9</v>
      </c>
      <c r="B2460" s="1324"/>
      <c r="C2460" t="s">
        <v>1253</v>
      </c>
      <c r="D2460" s="648">
        <v>0</v>
      </c>
    </row>
    <row r="2461" spans="1:4" ht="12.75" customHeight="1">
      <c r="A2461" s="646">
        <v>9</v>
      </c>
      <c r="B2461" s="1325"/>
      <c r="C2461" t="s">
        <v>421</v>
      </c>
      <c r="D2461" s="648">
        <v>0</v>
      </c>
    </row>
    <row r="2462" spans="1:4" ht="12.75" customHeight="1">
      <c r="A2462" s="107">
        <v>2</v>
      </c>
      <c r="B2462" s="1323" t="s">
        <v>1556</v>
      </c>
      <c r="C2462" t="s">
        <v>444</v>
      </c>
      <c r="D2462" s="648">
        <v>0</v>
      </c>
    </row>
    <row r="2463" spans="1:4">
      <c r="A2463" s="107">
        <v>2</v>
      </c>
      <c r="B2463" s="1324"/>
      <c r="C2463" t="s">
        <v>445</v>
      </c>
      <c r="D2463" s="648">
        <v>0</v>
      </c>
    </row>
    <row r="2464" spans="1:4">
      <c r="A2464" s="107">
        <v>2</v>
      </c>
      <c r="B2464" s="1324"/>
      <c r="C2464" t="s">
        <v>446</v>
      </c>
      <c r="D2464" s="648">
        <v>9730.2999999999993</v>
      </c>
    </row>
    <row r="2465" spans="1:4">
      <c r="A2465" s="107">
        <v>2</v>
      </c>
      <c r="B2465" s="1324"/>
      <c r="C2465" t="s">
        <v>1253</v>
      </c>
      <c r="D2465" s="648">
        <v>0</v>
      </c>
    </row>
    <row r="2466" spans="1:4" ht="12.75" customHeight="1">
      <c r="A2466" s="107">
        <v>2</v>
      </c>
      <c r="B2466" s="1325"/>
      <c r="C2466" t="s">
        <v>421</v>
      </c>
      <c r="D2466" s="648">
        <v>0</v>
      </c>
    </row>
    <row r="2467" spans="1:4" s="645" customFormat="1" ht="12.75" customHeight="1">
      <c r="A2467" s="644">
        <v>1</v>
      </c>
      <c r="B2467" s="1323" t="s">
        <v>1143</v>
      </c>
      <c r="C2467" s="645" t="s">
        <v>444</v>
      </c>
      <c r="D2467" s="648">
        <v>520036.1</v>
      </c>
    </row>
    <row r="2468" spans="1:4">
      <c r="A2468" s="646">
        <v>1</v>
      </c>
      <c r="B2468" s="1324"/>
      <c r="C2468" t="s">
        <v>445</v>
      </c>
      <c r="D2468" s="648">
        <v>7596.2</v>
      </c>
    </row>
    <row r="2469" spans="1:4">
      <c r="A2469" s="646">
        <v>1</v>
      </c>
      <c r="B2469" s="1324"/>
      <c r="C2469" t="s">
        <v>446</v>
      </c>
      <c r="D2469" s="648">
        <v>68001</v>
      </c>
    </row>
    <row r="2470" spans="1:4">
      <c r="A2470" s="646">
        <v>1</v>
      </c>
      <c r="B2470" s="1324"/>
      <c r="C2470" t="s">
        <v>1253</v>
      </c>
      <c r="D2470" s="648">
        <v>0</v>
      </c>
    </row>
    <row r="2471" spans="1:4" ht="12.75" customHeight="1">
      <c r="A2471" s="646">
        <v>1</v>
      </c>
      <c r="B2471" s="1325"/>
      <c r="C2471" t="s">
        <v>421</v>
      </c>
      <c r="D2471" s="648">
        <v>6052.2</v>
      </c>
    </row>
    <row r="2472" spans="1:4" ht="12.75" customHeight="1">
      <c r="A2472" s="107">
        <v>2</v>
      </c>
      <c r="B2472" s="1323" t="s">
        <v>1144</v>
      </c>
      <c r="C2472" t="s">
        <v>444</v>
      </c>
      <c r="D2472" s="648">
        <v>0</v>
      </c>
    </row>
    <row r="2473" spans="1:4">
      <c r="A2473" s="107">
        <v>2</v>
      </c>
      <c r="B2473" s="1324"/>
      <c r="C2473" t="s">
        <v>445</v>
      </c>
      <c r="D2473" s="648">
        <v>0</v>
      </c>
    </row>
    <row r="2474" spans="1:4">
      <c r="A2474" s="107">
        <v>2</v>
      </c>
      <c r="B2474" s="1324"/>
      <c r="C2474" t="s">
        <v>446</v>
      </c>
      <c r="D2474" s="648">
        <v>48674.7</v>
      </c>
    </row>
    <row r="2475" spans="1:4">
      <c r="A2475" s="107">
        <v>2</v>
      </c>
      <c r="B2475" s="1324"/>
      <c r="C2475" t="s">
        <v>1253</v>
      </c>
      <c r="D2475" s="648">
        <v>0</v>
      </c>
    </row>
    <row r="2476" spans="1:4" ht="12.75" customHeight="1">
      <c r="A2476" s="107">
        <v>2</v>
      </c>
      <c r="B2476" s="1325"/>
      <c r="C2476" t="s">
        <v>421</v>
      </c>
      <c r="D2476" s="648">
        <v>0</v>
      </c>
    </row>
    <row r="2477" spans="1:4" ht="12.75" customHeight="1">
      <c r="A2477" s="107">
        <v>2</v>
      </c>
      <c r="B2477" s="1323" t="s">
        <v>1145</v>
      </c>
      <c r="C2477" t="s">
        <v>444</v>
      </c>
      <c r="D2477" s="648">
        <v>0</v>
      </c>
    </row>
    <row r="2478" spans="1:4">
      <c r="A2478" s="107">
        <v>2</v>
      </c>
      <c r="B2478" s="1324"/>
      <c r="C2478" t="s">
        <v>445</v>
      </c>
      <c r="D2478" s="648">
        <v>0</v>
      </c>
    </row>
    <row r="2479" spans="1:4">
      <c r="A2479" s="107">
        <v>2</v>
      </c>
      <c r="B2479" s="1324"/>
      <c r="C2479" t="s">
        <v>446</v>
      </c>
      <c r="D2479" s="648">
        <v>39217.5</v>
      </c>
    </row>
    <row r="2480" spans="1:4" ht="12" customHeight="1">
      <c r="A2480" s="107">
        <v>2</v>
      </c>
      <c r="B2480" s="1324"/>
      <c r="C2480" t="s">
        <v>1253</v>
      </c>
      <c r="D2480" s="648">
        <v>0</v>
      </c>
    </row>
    <row r="2481" spans="1:4" ht="15.75" customHeight="1">
      <c r="A2481" s="107">
        <v>2</v>
      </c>
      <c r="B2481" s="1325"/>
      <c r="C2481" t="s">
        <v>421</v>
      </c>
      <c r="D2481" s="648">
        <v>0</v>
      </c>
    </row>
    <row r="2482" spans="1:4" ht="12.75" customHeight="1">
      <c r="A2482" s="107">
        <v>2</v>
      </c>
      <c r="B2482" s="1323" t="s">
        <v>1146</v>
      </c>
      <c r="C2482" t="s">
        <v>444</v>
      </c>
      <c r="D2482" s="648">
        <v>0</v>
      </c>
    </row>
    <row r="2483" spans="1:4">
      <c r="A2483" s="107">
        <v>2</v>
      </c>
      <c r="B2483" s="1324"/>
      <c r="C2483" t="s">
        <v>445</v>
      </c>
      <c r="D2483" s="648">
        <v>0</v>
      </c>
    </row>
    <row r="2484" spans="1:4">
      <c r="A2484" s="107">
        <v>2</v>
      </c>
      <c r="B2484" s="1324"/>
      <c r="C2484" t="s">
        <v>446</v>
      </c>
      <c r="D2484" s="648">
        <v>36985.300000000003</v>
      </c>
    </row>
    <row r="2485" spans="1:4">
      <c r="A2485" s="107">
        <v>2</v>
      </c>
      <c r="B2485" s="1324"/>
      <c r="C2485" t="s">
        <v>1253</v>
      </c>
      <c r="D2485" s="648">
        <v>0</v>
      </c>
    </row>
    <row r="2486" spans="1:4" ht="12.75" customHeight="1">
      <c r="A2486" s="107">
        <v>2</v>
      </c>
      <c r="B2486" s="1325"/>
      <c r="C2486" t="s">
        <v>421</v>
      </c>
      <c r="D2486" s="648">
        <v>0</v>
      </c>
    </row>
    <row r="2487" spans="1:4" ht="12.75" customHeight="1">
      <c r="A2487" s="107">
        <v>2</v>
      </c>
      <c r="B2487" s="1323" t="s">
        <v>1147</v>
      </c>
      <c r="C2487" t="s">
        <v>444</v>
      </c>
      <c r="D2487" s="648">
        <v>0</v>
      </c>
    </row>
    <row r="2488" spans="1:4">
      <c r="A2488" s="107">
        <v>2</v>
      </c>
      <c r="B2488" s="1324"/>
      <c r="C2488" t="s">
        <v>445</v>
      </c>
      <c r="D2488" s="648">
        <v>0</v>
      </c>
    </row>
    <row r="2489" spans="1:4">
      <c r="A2489" s="107">
        <v>2</v>
      </c>
      <c r="B2489" s="1324"/>
      <c r="C2489" t="s">
        <v>446</v>
      </c>
      <c r="D2489" s="648">
        <v>41358.400000000001</v>
      </c>
    </row>
    <row r="2490" spans="1:4">
      <c r="A2490" s="107">
        <v>2</v>
      </c>
      <c r="B2490" s="1324"/>
      <c r="C2490" t="s">
        <v>1253</v>
      </c>
      <c r="D2490" s="648">
        <v>0</v>
      </c>
    </row>
    <row r="2491" spans="1:4" ht="12.75" customHeight="1">
      <c r="A2491" s="107">
        <v>2</v>
      </c>
      <c r="B2491" s="1325"/>
      <c r="C2491" t="s">
        <v>421</v>
      </c>
      <c r="D2491" s="648">
        <v>0</v>
      </c>
    </row>
    <row r="2492" spans="1:4" ht="24" customHeight="1">
      <c r="A2492" s="107">
        <v>2</v>
      </c>
      <c r="B2492" s="1323" t="s">
        <v>1148</v>
      </c>
      <c r="C2492" t="s">
        <v>444</v>
      </c>
      <c r="D2492" s="648">
        <v>0</v>
      </c>
    </row>
    <row r="2493" spans="1:4" ht="12.75" customHeight="1">
      <c r="A2493" s="107">
        <v>2</v>
      </c>
      <c r="B2493" s="1324"/>
      <c r="C2493" t="s">
        <v>445</v>
      </c>
      <c r="D2493" s="648">
        <v>0</v>
      </c>
    </row>
    <row r="2494" spans="1:4">
      <c r="A2494" s="107">
        <v>2</v>
      </c>
      <c r="B2494" s="1324"/>
      <c r="C2494" t="s">
        <v>446</v>
      </c>
      <c r="D2494" s="648">
        <v>57490</v>
      </c>
    </row>
    <row r="2495" spans="1:4">
      <c r="A2495" s="107">
        <v>2</v>
      </c>
      <c r="B2495" s="1324"/>
      <c r="C2495" t="s">
        <v>1253</v>
      </c>
      <c r="D2495" s="648">
        <v>0</v>
      </c>
    </row>
    <row r="2496" spans="1:4" ht="12.75" customHeight="1">
      <c r="A2496" s="107">
        <v>2</v>
      </c>
      <c r="B2496" s="1325"/>
      <c r="C2496" t="s">
        <v>421</v>
      </c>
      <c r="D2496" s="648">
        <v>0</v>
      </c>
    </row>
    <row r="2497" spans="1:4" ht="12.75" customHeight="1">
      <c r="A2497" s="107">
        <v>1</v>
      </c>
      <c r="B2497" s="1323" t="s">
        <v>1149</v>
      </c>
      <c r="C2497" t="s">
        <v>444</v>
      </c>
      <c r="D2497" s="648">
        <v>1052639</v>
      </c>
    </row>
    <row r="2498" spans="1:4">
      <c r="A2498" s="107">
        <v>1</v>
      </c>
      <c r="B2498" s="1324"/>
      <c r="C2498" t="s">
        <v>445</v>
      </c>
      <c r="D2498" s="648">
        <v>7947.6</v>
      </c>
    </row>
    <row r="2499" spans="1:4">
      <c r="A2499" s="107">
        <v>1</v>
      </c>
      <c r="B2499" s="1324"/>
      <c r="C2499" t="s">
        <v>446</v>
      </c>
      <c r="D2499" s="648">
        <v>77110.600000000006</v>
      </c>
    </row>
    <row r="2500" spans="1:4">
      <c r="A2500" s="107">
        <v>1</v>
      </c>
      <c r="B2500" s="1324"/>
      <c r="C2500" t="s">
        <v>1253</v>
      </c>
      <c r="D2500" s="648">
        <v>0</v>
      </c>
    </row>
    <row r="2501" spans="1:4" ht="12.75" customHeight="1">
      <c r="A2501" s="107">
        <v>1</v>
      </c>
      <c r="B2501" s="1325"/>
      <c r="C2501" t="s">
        <v>421</v>
      </c>
      <c r="D2501" s="648">
        <v>35928.6</v>
      </c>
    </row>
    <row r="2502" spans="1:4" ht="12.75" customHeight="1">
      <c r="A2502" s="107">
        <v>4</v>
      </c>
      <c r="B2502" s="1323" t="s">
        <v>1150</v>
      </c>
      <c r="C2502" t="s">
        <v>444</v>
      </c>
      <c r="D2502" s="648">
        <v>1201930.8</v>
      </c>
    </row>
    <row r="2503" spans="1:4">
      <c r="A2503" s="107">
        <v>4</v>
      </c>
      <c r="B2503" s="1324"/>
      <c r="C2503" t="s">
        <v>445</v>
      </c>
      <c r="D2503" s="648">
        <v>7863.6</v>
      </c>
    </row>
    <row r="2504" spans="1:4">
      <c r="A2504" s="107">
        <v>4</v>
      </c>
      <c r="B2504" s="1324"/>
      <c r="C2504" t="s">
        <v>446</v>
      </c>
      <c r="D2504" s="648">
        <v>0</v>
      </c>
    </row>
    <row r="2505" spans="1:4">
      <c r="A2505" s="107">
        <v>4</v>
      </c>
      <c r="B2505" s="1324"/>
      <c r="C2505" t="s">
        <v>1253</v>
      </c>
      <c r="D2505" s="648">
        <v>0</v>
      </c>
    </row>
    <row r="2506" spans="1:4" ht="12.75" customHeight="1">
      <c r="A2506" s="107">
        <v>4</v>
      </c>
      <c r="B2506" s="1325"/>
      <c r="C2506" t="s">
        <v>421</v>
      </c>
      <c r="D2506" s="648">
        <v>21058.1</v>
      </c>
    </row>
    <row r="2507" spans="1:4" ht="12.75" customHeight="1">
      <c r="A2507" s="107">
        <v>2</v>
      </c>
      <c r="B2507" s="1323" t="s">
        <v>1151</v>
      </c>
      <c r="C2507" t="s">
        <v>444</v>
      </c>
      <c r="D2507" s="648">
        <v>0</v>
      </c>
    </row>
    <row r="2508" spans="1:4">
      <c r="A2508" s="107">
        <v>2</v>
      </c>
      <c r="B2508" s="1324"/>
      <c r="C2508" t="s">
        <v>445</v>
      </c>
      <c r="D2508" s="648">
        <v>0</v>
      </c>
    </row>
    <row r="2509" spans="1:4">
      <c r="A2509" s="107">
        <v>2</v>
      </c>
      <c r="B2509" s="1324"/>
      <c r="C2509" t="s">
        <v>446</v>
      </c>
      <c r="D2509" s="648">
        <v>66094.600000000006</v>
      </c>
    </row>
    <row r="2510" spans="1:4">
      <c r="A2510" s="107">
        <v>2</v>
      </c>
      <c r="B2510" s="1324"/>
      <c r="C2510" t="s">
        <v>1253</v>
      </c>
      <c r="D2510" s="648">
        <v>0</v>
      </c>
    </row>
    <row r="2511" spans="1:4" ht="12.75" customHeight="1">
      <c r="A2511" s="107">
        <v>2</v>
      </c>
      <c r="B2511" s="1325"/>
      <c r="C2511" t="s">
        <v>421</v>
      </c>
      <c r="D2511" s="648">
        <v>0</v>
      </c>
    </row>
    <row r="2512" spans="1:4" ht="12.75" customHeight="1">
      <c r="A2512" s="107">
        <v>1</v>
      </c>
      <c r="B2512" s="1323" t="s">
        <v>1152</v>
      </c>
      <c r="C2512" t="s">
        <v>444</v>
      </c>
      <c r="D2512" s="648">
        <v>1829451.9</v>
      </c>
    </row>
    <row r="2513" spans="1:4">
      <c r="A2513" s="107">
        <v>1</v>
      </c>
      <c r="B2513" s="1324"/>
      <c r="C2513" t="s">
        <v>445</v>
      </c>
      <c r="D2513" s="648">
        <v>473409.4</v>
      </c>
    </row>
    <row r="2514" spans="1:4">
      <c r="A2514" s="107">
        <v>1</v>
      </c>
      <c r="B2514" s="1324"/>
      <c r="C2514" t="s">
        <v>446</v>
      </c>
      <c r="D2514" s="648">
        <v>146496.29999999999</v>
      </c>
    </row>
    <row r="2515" spans="1:4">
      <c r="A2515" s="107">
        <v>1</v>
      </c>
      <c r="B2515" s="1324"/>
      <c r="C2515" t="s">
        <v>1253</v>
      </c>
      <c r="D2515" s="648">
        <v>0</v>
      </c>
    </row>
    <row r="2516" spans="1:4" ht="12.75" customHeight="1">
      <c r="A2516" s="107">
        <v>1</v>
      </c>
      <c r="B2516" s="1325"/>
      <c r="C2516" t="s">
        <v>421</v>
      </c>
      <c r="D2516" s="648">
        <v>37248.5</v>
      </c>
    </row>
    <row r="2517" spans="1:4" ht="12.75" customHeight="1">
      <c r="A2517" s="107">
        <v>2</v>
      </c>
      <c r="B2517" s="1323" t="s">
        <v>1153</v>
      </c>
      <c r="C2517" t="s">
        <v>444</v>
      </c>
      <c r="D2517" s="648">
        <v>0</v>
      </c>
    </row>
    <row r="2518" spans="1:4">
      <c r="A2518" s="107">
        <v>2</v>
      </c>
      <c r="B2518" s="1324"/>
      <c r="C2518" t="s">
        <v>445</v>
      </c>
      <c r="D2518" s="648">
        <v>0</v>
      </c>
    </row>
    <row r="2519" spans="1:4">
      <c r="A2519" s="107">
        <v>2</v>
      </c>
      <c r="B2519" s="1324"/>
      <c r="C2519" t="s">
        <v>446</v>
      </c>
      <c r="D2519" s="648">
        <v>43808.800000000003</v>
      </c>
    </row>
    <row r="2520" spans="1:4">
      <c r="A2520" s="107">
        <v>2</v>
      </c>
      <c r="B2520" s="1324"/>
      <c r="C2520" t="s">
        <v>1253</v>
      </c>
      <c r="D2520" s="648">
        <v>0</v>
      </c>
    </row>
    <row r="2521" spans="1:4" ht="12.75" customHeight="1">
      <c r="A2521" s="107">
        <v>2</v>
      </c>
      <c r="B2521" s="1325"/>
      <c r="C2521" t="s">
        <v>421</v>
      </c>
      <c r="D2521" s="648">
        <v>0</v>
      </c>
    </row>
    <row r="2522" spans="1:4" ht="12.75" customHeight="1">
      <c r="A2522" s="107">
        <v>1</v>
      </c>
      <c r="B2522" s="1323" t="s">
        <v>1154</v>
      </c>
      <c r="C2522" t="s">
        <v>444</v>
      </c>
      <c r="D2522" s="648">
        <v>877514.3</v>
      </c>
    </row>
    <row r="2523" spans="1:4">
      <c r="A2523" s="107">
        <v>1</v>
      </c>
      <c r="B2523" s="1324"/>
      <c r="C2523" t="s">
        <v>445</v>
      </c>
      <c r="D2523" s="648">
        <v>52747.6</v>
      </c>
    </row>
    <row r="2524" spans="1:4">
      <c r="A2524" s="107">
        <v>1</v>
      </c>
      <c r="B2524" s="1324"/>
      <c r="C2524" t="s">
        <v>446</v>
      </c>
      <c r="D2524" s="648">
        <v>58025</v>
      </c>
    </row>
    <row r="2525" spans="1:4">
      <c r="A2525" s="107">
        <v>1</v>
      </c>
      <c r="B2525" s="1324"/>
      <c r="C2525" t="s">
        <v>1253</v>
      </c>
      <c r="D2525" s="648">
        <v>0</v>
      </c>
    </row>
    <row r="2526" spans="1:4" ht="12.75" customHeight="1">
      <c r="A2526" s="107">
        <v>1</v>
      </c>
      <c r="B2526" s="1325"/>
      <c r="C2526" t="s">
        <v>421</v>
      </c>
      <c r="D2526" s="648">
        <v>18041.400000000001</v>
      </c>
    </row>
    <row r="2527" spans="1:4" ht="12.75" customHeight="1">
      <c r="A2527" s="107">
        <v>7</v>
      </c>
      <c r="B2527" s="1323" t="s">
        <v>1155</v>
      </c>
      <c r="C2527" t="s">
        <v>444</v>
      </c>
      <c r="D2527" s="648">
        <v>0</v>
      </c>
    </row>
    <row r="2528" spans="1:4">
      <c r="A2528" s="107">
        <v>7</v>
      </c>
      <c r="B2528" s="1324"/>
      <c r="C2528" t="s">
        <v>445</v>
      </c>
      <c r="D2528" s="648">
        <v>0</v>
      </c>
    </row>
    <row r="2529" spans="1:4">
      <c r="A2529" s="107">
        <v>7</v>
      </c>
      <c r="B2529" s="1324"/>
      <c r="C2529" t="s">
        <v>446</v>
      </c>
      <c r="D2529" s="648">
        <v>21606.2</v>
      </c>
    </row>
    <row r="2530" spans="1:4">
      <c r="A2530" s="107">
        <v>7</v>
      </c>
      <c r="B2530" s="1324"/>
      <c r="C2530" t="s">
        <v>1253</v>
      </c>
      <c r="D2530" s="648">
        <v>0</v>
      </c>
    </row>
    <row r="2531" spans="1:4" ht="12.75" customHeight="1">
      <c r="A2531" s="107">
        <v>7</v>
      </c>
      <c r="B2531" s="1325"/>
      <c r="C2531" t="s">
        <v>421</v>
      </c>
      <c r="D2531" s="648">
        <v>0</v>
      </c>
    </row>
    <row r="2532" spans="1:4" ht="12.75" customHeight="1">
      <c r="A2532" s="107">
        <v>1</v>
      </c>
      <c r="B2532" s="1323" t="s">
        <v>1156</v>
      </c>
      <c r="C2532" t="s">
        <v>444</v>
      </c>
      <c r="D2532" s="648">
        <v>787796.8</v>
      </c>
    </row>
    <row r="2533" spans="1:4">
      <c r="A2533" s="107">
        <v>1</v>
      </c>
      <c r="B2533" s="1324"/>
      <c r="C2533" t="s">
        <v>445</v>
      </c>
      <c r="D2533" s="648">
        <v>21998.5</v>
      </c>
    </row>
    <row r="2534" spans="1:4" ht="15" customHeight="1">
      <c r="A2534" s="107">
        <v>1</v>
      </c>
      <c r="B2534" s="1324"/>
      <c r="C2534" t="s">
        <v>446</v>
      </c>
      <c r="D2534" s="648">
        <v>111126</v>
      </c>
    </row>
    <row r="2535" spans="1:4">
      <c r="A2535" s="107">
        <v>1</v>
      </c>
      <c r="B2535" s="1324"/>
      <c r="C2535" t="s">
        <v>1253</v>
      </c>
      <c r="D2535" s="648">
        <v>0</v>
      </c>
    </row>
    <row r="2536" spans="1:4" ht="12.75" customHeight="1">
      <c r="A2536" s="107">
        <v>1</v>
      </c>
      <c r="B2536" s="1325"/>
      <c r="C2536" t="s">
        <v>421</v>
      </c>
      <c r="D2536" s="648">
        <v>17256.900000000001</v>
      </c>
    </row>
    <row r="2537" spans="1:4" ht="12.75" customHeight="1">
      <c r="A2537" s="107">
        <v>1</v>
      </c>
      <c r="B2537" s="1323" t="s">
        <v>1157</v>
      </c>
      <c r="C2537" t="s">
        <v>444</v>
      </c>
      <c r="D2537" s="648">
        <v>1492920.2</v>
      </c>
    </row>
    <row r="2538" spans="1:4">
      <c r="A2538" s="107">
        <v>1</v>
      </c>
      <c r="B2538" s="1324"/>
      <c r="C2538" t="s">
        <v>445</v>
      </c>
      <c r="D2538" s="648">
        <v>353742.5</v>
      </c>
    </row>
    <row r="2539" spans="1:4">
      <c r="A2539" s="107">
        <v>1</v>
      </c>
      <c r="B2539" s="1324"/>
      <c r="C2539" t="s">
        <v>446</v>
      </c>
      <c r="D2539" s="648">
        <v>125446.9</v>
      </c>
    </row>
    <row r="2540" spans="1:4">
      <c r="A2540" s="107">
        <v>1</v>
      </c>
      <c r="B2540" s="1324"/>
      <c r="C2540" t="s">
        <v>1253</v>
      </c>
      <c r="D2540" s="648">
        <v>0</v>
      </c>
    </row>
    <row r="2541" spans="1:4">
      <c r="A2541" s="107">
        <v>1</v>
      </c>
      <c r="B2541" s="1325"/>
      <c r="C2541" t="s">
        <v>421</v>
      </c>
      <c r="D2541" s="648">
        <v>44232.6</v>
      </c>
    </row>
    <row r="2542" spans="1:4">
      <c r="A2542" s="107">
        <v>2</v>
      </c>
      <c r="B2542" s="1323" t="s">
        <v>1158</v>
      </c>
      <c r="C2542" t="s">
        <v>444</v>
      </c>
      <c r="D2542" s="648">
        <v>139292</v>
      </c>
    </row>
    <row r="2543" spans="1:4">
      <c r="A2543" s="107">
        <v>2</v>
      </c>
      <c r="B2543" s="1324"/>
      <c r="C2543" t="s">
        <v>445</v>
      </c>
      <c r="D2543" s="648">
        <v>21327</v>
      </c>
    </row>
    <row r="2544" spans="1:4">
      <c r="A2544" s="107">
        <v>2</v>
      </c>
      <c r="B2544" s="1324"/>
      <c r="C2544" t="s">
        <v>446</v>
      </c>
      <c r="D2544" s="648">
        <v>37914.400000000001</v>
      </c>
    </row>
    <row r="2545" spans="1:4">
      <c r="A2545" s="107">
        <v>2</v>
      </c>
      <c r="B2545" s="1324"/>
      <c r="C2545" t="s">
        <v>1253</v>
      </c>
      <c r="D2545" s="648">
        <v>0</v>
      </c>
    </row>
    <row r="2546" spans="1:4" ht="12.75" customHeight="1">
      <c r="A2546" s="107">
        <v>2</v>
      </c>
      <c r="B2546" s="1324"/>
      <c r="C2546" t="s">
        <v>421</v>
      </c>
      <c r="D2546" s="648">
        <v>8666.6</v>
      </c>
    </row>
    <row r="2547" spans="1:4" ht="12.75" customHeight="1">
      <c r="A2547" s="107">
        <v>17</v>
      </c>
      <c r="B2547" s="1323" t="s">
        <v>1159</v>
      </c>
      <c r="C2547" t="s">
        <v>444</v>
      </c>
      <c r="D2547" s="648">
        <v>255263</v>
      </c>
    </row>
    <row r="2548" spans="1:4">
      <c r="A2548" s="107">
        <v>17</v>
      </c>
      <c r="B2548" s="1324"/>
      <c r="C2548" t="s">
        <v>445</v>
      </c>
      <c r="D2548" s="648">
        <v>0</v>
      </c>
    </row>
    <row r="2549" spans="1:4">
      <c r="A2549" s="107">
        <v>17</v>
      </c>
      <c r="B2549" s="1324"/>
      <c r="C2549" t="s">
        <v>446</v>
      </c>
      <c r="D2549" s="648">
        <v>0</v>
      </c>
    </row>
    <row r="2550" spans="1:4">
      <c r="A2550" s="107">
        <v>17</v>
      </c>
      <c r="B2550" s="1324"/>
      <c r="C2550" t="s">
        <v>1253</v>
      </c>
      <c r="D2550" s="648">
        <v>0</v>
      </c>
    </row>
    <row r="2551" spans="1:4" ht="12.75" customHeight="1">
      <c r="A2551" s="107">
        <v>17</v>
      </c>
      <c r="B2551" s="1325"/>
      <c r="C2551" t="s">
        <v>421</v>
      </c>
      <c r="D2551" s="648">
        <v>0</v>
      </c>
    </row>
    <row r="2552" spans="1:4" ht="12.75" customHeight="1">
      <c r="A2552" s="107">
        <v>4</v>
      </c>
      <c r="B2552" s="1323" t="s">
        <v>1160</v>
      </c>
      <c r="C2552" t="s">
        <v>444</v>
      </c>
      <c r="D2552" s="648">
        <v>500993.3</v>
      </c>
    </row>
    <row r="2553" spans="1:4">
      <c r="A2553" s="107">
        <v>4</v>
      </c>
      <c r="B2553" s="1324"/>
      <c r="C2553" t="s">
        <v>445</v>
      </c>
      <c r="D2553" s="648">
        <v>0</v>
      </c>
    </row>
    <row r="2554" spans="1:4">
      <c r="A2554" s="107">
        <v>4</v>
      </c>
      <c r="B2554" s="1324"/>
      <c r="C2554" t="s">
        <v>446</v>
      </c>
      <c r="D2554" s="648">
        <v>18899.400000000001</v>
      </c>
    </row>
    <row r="2555" spans="1:4">
      <c r="A2555" s="107">
        <v>4</v>
      </c>
      <c r="B2555" s="1324"/>
      <c r="C2555" t="s">
        <v>1253</v>
      </c>
      <c r="D2555" s="648">
        <v>0</v>
      </c>
    </row>
    <row r="2556" spans="1:4" ht="12.75" customHeight="1">
      <c r="A2556" s="107">
        <v>4</v>
      </c>
      <c r="B2556" s="1325"/>
      <c r="C2556" t="s">
        <v>421</v>
      </c>
      <c r="D2556" s="648">
        <v>9992.9</v>
      </c>
    </row>
    <row r="2557" spans="1:4" ht="12.75" customHeight="1">
      <c r="A2557" s="107">
        <v>1</v>
      </c>
      <c r="B2557" s="1323" t="s">
        <v>1161</v>
      </c>
      <c r="C2557" t="s">
        <v>444</v>
      </c>
      <c r="D2557" s="648">
        <v>20548</v>
      </c>
    </row>
    <row r="2558" spans="1:4">
      <c r="A2558" s="107">
        <v>1</v>
      </c>
      <c r="B2558" s="1324"/>
      <c r="C2558" t="s">
        <v>445</v>
      </c>
      <c r="D2558" s="648">
        <v>0</v>
      </c>
    </row>
    <row r="2559" spans="1:4">
      <c r="A2559" s="107">
        <v>1</v>
      </c>
      <c r="B2559" s="1324"/>
      <c r="C2559" t="s">
        <v>446</v>
      </c>
      <c r="D2559" s="648">
        <v>0</v>
      </c>
    </row>
    <row r="2560" spans="1:4">
      <c r="A2560" s="107">
        <v>1</v>
      </c>
      <c r="B2560" s="1324"/>
      <c r="C2560" t="s">
        <v>1253</v>
      </c>
      <c r="D2560" s="648">
        <v>0</v>
      </c>
    </row>
    <row r="2561" spans="1:4" ht="12.75" customHeight="1">
      <c r="A2561" s="107">
        <v>1</v>
      </c>
      <c r="B2561" s="1325"/>
      <c r="C2561" t="s">
        <v>421</v>
      </c>
      <c r="D2561" s="648">
        <v>0</v>
      </c>
    </row>
    <row r="2562" spans="1:4" ht="12.75" customHeight="1">
      <c r="A2562" s="107">
        <v>3</v>
      </c>
      <c r="B2562" s="1323" t="s">
        <v>1162</v>
      </c>
      <c r="C2562" t="s">
        <v>444</v>
      </c>
      <c r="D2562" s="648">
        <v>71369</v>
      </c>
    </row>
    <row r="2563" spans="1:4">
      <c r="A2563" s="107">
        <v>3</v>
      </c>
      <c r="B2563" s="1324"/>
      <c r="C2563" t="s">
        <v>445</v>
      </c>
      <c r="D2563" s="648">
        <v>0</v>
      </c>
    </row>
    <row r="2564" spans="1:4">
      <c r="A2564" s="107">
        <v>3</v>
      </c>
      <c r="B2564" s="1324"/>
      <c r="C2564" t="s">
        <v>446</v>
      </c>
      <c r="D2564" s="648">
        <v>24799.1</v>
      </c>
    </row>
    <row r="2565" spans="1:4">
      <c r="A2565" s="107">
        <v>3</v>
      </c>
      <c r="B2565" s="1324"/>
      <c r="C2565" t="s">
        <v>1253</v>
      </c>
      <c r="D2565" s="648">
        <v>0</v>
      </c>
    </row>
    <row r="2566" spans="1:4" ht="12.75" customHeight="1">
      <c r="A2566" s="107">
        <v>3</v>
      </c>
      <c r="B2566" s="1325"/>
      <c r="C2566" t="s">
        <v>421</v>
      </c>
      <c r="D2566" s="648">
        <v>0</v>
      </c>
    </row>
    <row r="2567" spans="1:4" ht="12.75" customHeight="1">
      <c r="A2567" s="107">
        <v>2</v>
      </c>
      <c r="B2567" s="1323" t="s">
        <v>1163</v>
      </c>
      <c r="C2567" t="s">
        <v>444</v>
      </c>
      <c r="D2567" s="648">
        <v>18762.7</v>
      </c>
    </row>
    <row r="2568" spans="1:4">
      <c r="A2568" s="107">
        <v>2</v>
      </c>
      <c r="B2568" s="1324"/>
      <c r="C2568" t="s">
        <v>445</v>
      </c>
      <c r="D2568" s="648">
        <v>0</v>
      </c>
    </row>
    <row r="2569" spans="1:4">
      <c r="A2569" s="107">
        <v>2</v>
      </c>
      <c r="B2569" s="1324"/>
      <c r="C2569" t="s">
        <v>446</v>
      </c>
      <c r="D2569" s="648">
        <v>11727.4</v>
      </c>
    </row>
    <row r="2570" spans="1:4">
      <c r="A2570" s="107">
        <v>2</v>
      </c>
      <c r="B2570" s="1324"/>
      <c r="C2570" t="s">
        <v>1253</v>
      </c>
      <c r="D2570" s="648">
        <v>0</v>
      </c>
    </row>
    <row r="2571" spans="1:4" ht="12.75" customHeight="1">
      <c r="A2571" s="107">
        <v>2</v>
      </c>
      <c r="B2571" s="1325"/>
      <c r="C2571" t="s">
        <v>421</v>
      </c>
      <c r="D2571" s="648">
        <v>0</v>
      </c>
    </row>
    <row r="2572" spans="1:4" ht="12.75" customHeight="1">
      <c r="A2572" s="107">
        <v>1</v>
      </c>
      <c r="B2572" s="1323" t="s">
        <v>1164</v>
      </c>
      <c r="C2572" t="s">
        <v>444</v>
      </c>
      <c r="D2572" s="648">
        <v>50828.7</v>
      </c>
    </row>
    <row r="2573" spans="1:4">
      <c r="A2573" s="107">
        <v>1</v>
      </c>
      <c r="B2573" s="1324"/>
      <c r="C2573" t="s">
        <v>445</v>
      </c>
      <c r="D2573" s="648">
        <v>0</v>
      </c>
    </row>
    <row r="2574" spans="1:4">
      <c r="A2574" s="107">
        <v>1</v>
      </c>
      <c r="B2574" s="1324"/>
      <c r="C2574" t="s">
        <v>446</v>
      </c>
      <c r="D2574" s="648">
        <v>6751.7</v>
      </c>
    </row>
    <row r="2575" spans="1:4">
      <c r="A2575" s="107">
        <v>1</v>
      </c>
      <c r="B2575" s="1324"/>
      <c r="C2575" t="s">
        <v>1253</v>
      </c>
      <c r="D2575" s="648">
        <v>0</v>
      </c>
    </row>
    <row r="2576" spans="1:4" ht="12.75" customHeight="1">
      <c r="A2576" s="107">
        <v>1</v>
      </c>
      <c r="B2576" s="1325"/>
      <c r="C2576" t="s">
        <v>421</v>
      </c>
      <c r="D2576" s="648">
        <v>0</v>
      </c>
    </row>
    <row r="2577" spans="1:4" ht="12.75" customHeight="1">
      <c r="A2577" s="107">
        <v>1</v>
      </c>
      <c r="B2577" s="1323" t="s">
        <v>1165</v>
      </c>
      <c r="C2577" t="s">
        <v>444</v>
      </c>
      <c r="D2577" s="648">
        <v>14879.2</v>
      </c>
    </row>
    <row r="2578" spans="1:4">
      <c r="A2578" s="107">
        <v>1</v>
      </c>
      <c r="B2578" s="1324"/>
      <c r="C2578" t="s">
        <v>445</v>
      </c>
      <c r="D2578" s="648">
        <v>0</v>
      </c>
    </row>
    <row r="2579" spans="1:4">
      <c r="A2579" s="107">
        <v>1</v>
      </c>
      <c r="B2579" s="1324"/>
      <c r="C2579" t="s">
        <v>446</v>
      </c>
      <c r="D2579" s="648">
        <v>6016.1</v>
      </c>
    </row>
    <row r="2580" spans="1:4">
      <c r="A2580" s="107">
        <v>1</v>
      </c>
      <c r="B2580" s="1324"/>
      <c r="C2580" t="s">
        <v>1253</v>
      </c>
      <c r="D2580" s="648">
        <v>0</v>
      </c>
    </row>
    <row r="2581" spans="1:4" ht="12.75" customHeight="1">
      <c r="A2581" s="107">
        <v>1</v>
      </c>
      <c r="B2581" s="1325"/>
      <c r="C2581" t="s">
        <v>421</v>
      </c>
      <c r="D2581" s="648">
        <v>0</v>
      </c>
    </row>
    <row r="2582" spans="1:4" ht="12.75" customHeight="1">
      <c r="A2582" s="107">
        <v>10</v>
      </c>
      <c r="B2582" s="1323" t="s">
        <v>1166</v>
      </c>
      <c r="C2582" t="s">
        <v>444</v>
      </c>
      <c r="D2582" s="648">
        <v>0</v>
      </c>
    </row>
    <row r="2583" spans="1:4">
      <c r="A2583" s="107">
        <v>10</v>
      </c>
      <c r="B2583" s="1324"/>
      <c r="C2583" t="s">
        <v>445</v>
      </c>
      <c r="D2583" s="648">
        <v>0</v>
      </c>
    </row>
    <row r="2584" spans="1:4">
      <c r="A2584" s="107">
        <v>10</v>
      </c>
      <c r="B2584" s="1324"/>
      <c r="C2584" t="s">
        <v>446</v>
      </c>
      <c r="D2584" s="648">
        <v>260702.7</v>
      </c>
    </row>
    <row r="2585" spans="1:4">
      <c r="A2585" s="107">
        <v>10</v>
      </c>
      <c r="B2585" s="1324"/>
      <c r="C2585" t="s">
        <v>1253</v>
      </c>
      <c r="D2585" s="648">
        <v>0</v>
      </c>
    </row>
    <row r="2586" spans="1:4" ht="12.75" customHeight="1">
      <c r="A2586" s="107">
        <v>10</v>
      </c>
      <c r="B2586" s="1325"/>
      <c r="C2586" t="s">
        <v>421</v>
      </c>
      <c r="D2586" s="648">
        <v>0</v>
      </c>
    </row>
    <row r="2587" spans="1:4" ht="12.75" customHeight="1">
      <c r="A2587" s="107">
        <v>11</v>
      </c>
      <c r="B2587" s="1323" t="s">
        <v>1167</v>
      </c>
      <c r="C2587" t="s">
        <v>444</v>
      </c>
      <c r="D2587" s="648">
        <v>1561231.5</v>
      </c>
    </row>
    <row r="2588" spans="1:4">
      <c r="A2588" s="107">
        <v>11</v>
      </c>
      <c r="B2588" s="1324"/>
      <c r="C2588" t="s">
        <v>445</v>
      </c>
      <c r="D2588" s="648">
        <v>2359767.5</v>
      </c>
    </row>
    <row r="2589" spans="1:4">
      <c r="A2589" s="107">
        <v>11</v>
      </c>
      <c r="B2589" s="1324"/>
      <c r="C2589" t="s">
        <v>446</v>
      </c>
      <c r="D2589" s="648">
        <v>55668.7</v>
      </c>
    </row>
    <row r="2590" spans="1:4">
      <c r="A2590" s="107">
        <v>11</v>
      </c>
      <c r="B2590" s="1324"/>
      <c r="C2590" t="s">
        <v>1253</v>
      </c>
      <c r="D2590" s="648">
        <v>0</v>
      </c>
    </row>
    <row r="2591" spans="1:4">
      <c r="A2591" s="107">
        <v>11</v>
      </c>
      <c r="B2591" s="1325"/>
      <c r="C2591" t="s">
        <v>421</v>
      </c>
      <c r="D2591" s="648">
        <v>28197.1</v>
      </c>
    </row>
    <row r="2592" spans="1:4">
      <c r="A2592" s="107">
        <v>2</v>
      </c>
      <c r="B2592" s="1323" t="s">
        <v>1168</v>
      </c>
      <c r="C2592" t="s">
        <v>444</v>
      </c>
      <c r="D2592" s="648">
        <v>0</v>
      </c>
    </row>
    <row r="2593" spans="1:4">
      <c r="A2593" s="107">
        <v>2</v>
      </c>
      <c r="B2593" s="1324"/>
      <c r="C2593" t="s">
        <v>445</v>
      </c>
      <c r="D2593" s="648">
        <v>0</v>
      </c>
    </row>
    <row r="2594" spans="1:4">
      <c r="A2594" s="107">
        <v>2</v>
      </c>
      <c r="B2594" s="1324"/>
      <c r="C2594" t="s">
        <v>446</v>
      </c>
      <c r="D2594" s="648">
        <v>183889.5</v>
      </c>
    </row>
    <row r="2595" spans="1:4">
      <c r="A2595" s="107">
        <v>2</v>
      </c>
      <c r="B2595" s="1324"/>
      <c r="C2595" t="s">
        <v>1253</v>
      </c>
      <c r="D2595" s="648">
        <v>0</v>
      </c>
    </row>
    <row r="2596" spans="1:4">
      <c r="A2596" s="107">
        <v>2</v>
      </c>
      <c r="B2596" s="1325"/>
      <c r="C2596" t="s">
        <v>421</v>
      </c>
      <c r="D2596" s="648">
        <v>0</v>
      </c>
    </row>
    <row r="2597" spans="1:4">
      <c r="A2597" s="107">
        <v>2</v>
      </c>
      <c r="B2597" s="1323" t="s">
        <v>1169</v>
      </c>
      <c r="C2597" t="s">
        <v>444</v>
      </c>
      <c r="D2597" s="648">
        <v>0</v>
      </c>
    </row>
    <row r="2598" spans="1:4">
      <c r="A2598" s="107">
        <v>2</v>
      </c>
      <c r="B2598" s="1324"/>
      <c r="C2598" t="s">
        <v>445</v>
      </c>
      <c r="D2598" s="648">
        <v>0</v>
      </c>
    </row>
    <row r="2599" spans="1:4">
      <c r="A2599" s="107">
        <v>2</v>
      </c>
      <c r="B2599" s="1324"/>
      <c r="C2599" t="s">
        <v>446</v>
      </c>
      <c r="D2599" s="648">
        <v>43308.7</v>
      </c>
    </row>
    <row r="2600" spans="1:4">
      <c r="A2600" s="107">
        <v>2</v>
      </c>
      <c r="B2600" s="1324"/>
      <c r="C2600" t="s">
        <v>1253</v>
      </c>
      <c r="D2600" s="648">
        <v>0</v>
      </c>
    </row>
    <row r="2601" spans="1:4" ht="12.75" customHeight="1">
      <c r="A2601" s="107">
        <v>2</v>
      </c>
      <c r="B2601" s="1325"/>
      <c r="C2601" t="s">
        <v>421</v>
      </c>
      <c r="D2601" s="648">
        <v>0</v>
      </c>
    </row>
    <row r="2602" spans="1:4" ht="12.75" customHeight="1">
      <c r="A2602" s="107">
        <v>1</v>
      </c>
      <c r="B2602" s="1323" t="s">
        <v>1557</v>
      </c>
      <c r="C2602" t="s">
        <v>444</v>
      </c>
      <c r="D2602" s="648">
        <v>11769.2</v>
      </c>
    </row>
    <row r="2603" spans="1:4">
      <c r="A2603" s="107">
        <v>1</v>
      </c>
      <c r="B2603" s="1324"/>
      <c r="C2603" t="s">
        <v>445</v>
      </c>
      <c r="D2603" s="648">
        <v>0</v>
      </c>
    </row>
    <row r="2604" spans="1:4">
      <c r="A2604" s="107">
        <v>1</v>
      </c>
      <c r="B2604" s="1324"/>
      <c r="C2604" t="s">
        <v>446</v>
      </c>
      <c r="D2604" s="648">
        <v>10717.4</v>
      </c>
    </row>
    <row r="2605" spans="1:4">
      <c r="A2605" s="107">
        <v>1</v>
      </c>
      <c r="B2605" s="1324"/>
      <c r="C2605" t="s">
        <v>1253</v>
      </c>
      <c r="D2605" s="648">
        <v>0</v>
      </c>
    </row>
    <row r="2606" spans="1:4" ht="12.75" customHeight="1">
      <c r="A2606" s="107">
        <v>1</v>
      </c>
      <c r="B2606" s="1325"/>
      <c r="C2606" t="s">
        <v>421</v>
      </c>
      <c r="D2606" s="648">
        <v>0</v>
      </c>
    </row>
    <row r="2607" spans="1:4" ht="12.75" customHeight="1">
      <c r="A2607" s="107">
        <v>1</v>
      </c>
      <c r="B2607" s="1323" t="s">
        <v>1558</v>
      </c>
      <c r="C2607" t="s">
        <v>444</v>
      </c>
      <c r="D2607" s="648">
        <v>10307.6</v>
      </c>
    </row>
    <row r="2608" spans="1:4">
      <c r="A2608" s="107">
        <v>1</v>
      </c>
      <c r="B2608" s="1324"/>
      <c r="C2608" t="s">
        <v>445</v>
      </c>
      <c r="D2608" s="648">
        <v>0</v>
      </c>
    </row>
    <row r="2609" spans="1:4">
      <c r="A2609" s="107">
        <v>1</v>
      </c>
      <c r="B2609" s="1324"/>
      <c r="C2609" t="s">
        <v>446</v>
      </c>
      <c r="D2609" s="648">
        <v>7024.1</v>
      </c>
    </row>
    <row r="2610" spans="1:4">
      <c r="A2610" s="107">
        <v>1</v>
      </c>
      <c r="B2610" s="1324"/>
      <c r="C2610" t="s">
        <v>1253</v>
      </c>
      <c r="D2610" s="648">
        <v>0</v>
      </c>
    </row>
    <row r="2611" spans="1:4" ht="12.75" customHeight="1">
      <c r="A2611" s="107">
        <v>1</v>
      </c>
      <c r="B2611" s="1325"/>
      <c r="C2611" t="s">
        <v>421</v>
      </c>
      <c r="D2611" s="648">
        <v>0</v>
      </c>
    </row>
    <row r="2612" spans="1:4" ht="12.75" customHeight="1">
      <c r="A2612" s="107">
        <v>2</v>
      </c>
      <c r="B2612" s="1323" t="s">
        <v>1559</v>
      </c>
      <c r="C2612" t="s">
        <v>444</v>
      </c>
      <c r="D2612" s="648">
        <v>0</v>
      </c>
    </row>
    <row r="2613" spans="1:4">
      <c r="A2613" s="107">
        <v>2</v>
      </c>
      <c r="B2613" s="1324"/>
      <c r="C2613" t="s">
        <v>445</v>
      </c>
      <c r="D2613" s="648">
        <v>0</v>
      </c>
    </row>
    <row r="2614" spans="1:4">
      <c r="A2614" s="107">
        <v>2</v>
      </c>
      <c r="B2614" s="1324"/>
      <c r="C2614" t="s">
        <v>446</v>
      </c>
      <c r="D2614" s="648">
        <v>144963.4</v>
      </c>
    </row>
    <row r="2615" spans="1:4">
      <c r="A2615" s="107">
        <v>2</v>
      </c>
      <c r="B2615" s="1324"/>
      <c r="C2615" t="s">
        <v>1253</v>
      </c>
      <c r="D2615" s="648">
        <v>0</v>
      </c>
    </row>
    <row r="2616" spans="1:4">
      <c r="A2616" s="107">
        <v>2</v>
      </c>
      <c r="B2616" s="1325"/>
      <c r="C2616" t="s">
        <v>421</v>
      </c>
      <c r="D2616" s="648">
        <v>0</v>
      </c>
    </row>
    <row r="2617" spans="1:4" s="645" customFormat="1">
      <c r="A2617" s="644">
        <v>2</v>
      </c>
      <c r="B2617" s="1323" t="s">
        <v>1170</v>
      </c>
      <c r="C2617" s="645" t="s">
        <v>444</v>
      </c>
      <c r="D2617" s="648">
        <v>0</v>
      </c>
    </row>
    <row r="2618" spans="1:4">
      <c r="A2618" s="646">
        <v>2</v>
      </c>
      <c r="B2618" s="1324"/>
      <c r="C2618" t="s">
        <v>445</v>
      </c>
      <c r="D2618" s="648">
        <v>0</v>
      </c>
    </row>
    <row r="2619" spans="1:4">
      <c r="A2619" s="646">
        <v>2</v>
      </c>
      <c r="B2619" s="1324"/>
      <c r="C2619" t="s">
        <v>446</v>
      </c>
      <c r="D2619" s="648">
        <v>42085.4</v>
      </c>
    </row>
    <row r="2620" spans="1:4">
      <c r="A2620" s="646">
        <v>2</v>
      </c>
      <c r="B2620" s="1324"/>
      <c r="C2620" t="s">
        <v>1253</v>
      </c>
      <c r="D2620" s="648">
        <v>0</v>
      </c>
    </row>
    <row r="2621" spans="1:4">
      <c r="A2621" s="646">
        <v>2</v>
      </c>
      <c r="B2621" s="1325"/>
      <c r="C2621" t="s">
        <v>421</v>
      </c>
      <c r="D2621" s="648">
        <v>0</v>
      </c>
    </row>
    <row r="2622" spans="1:4">
      <c r="A2622" s="107">
        <v>2</v>
      </c>
      <c r="B2622" s="1323" t="s">
        <v>1171</v>
      </c>
      <c r="C2622" t="s">
        <v>444</v>
      </c>
      <c r="D2622" s="648">
        <v>0</v>
      </c>
    </row>
    <row r="2623" spans="1:4">
      <c r="A2623" s="107">
        <v>2</v>
      </c>
      <c r="B2623" s="1324"/>
      <c r="C2623" t="s">
        <v>445</v>
      </c>
      <c r="D2623" s="648">
        <v>0</v>
      </c>
    </row>
    <row r="2624" spans="1:4">
      <c r="A2624" s="107">
        <v>2</v>
      </c>
      <c r="B2624" s="1324"/>
      <c r="C2624" t="s">
        <v>446</v>
      </c>
      <c r="D2624" s="648">
        <v>54841.8</v>
      </c>
    </row>
    <row r="2625" spans="1:4">
      <c r="A2625" s="107">
        <v>2</v>
      </c>
      <c r="B2625" s="1324"/>
      <c r="C2625" t="s">
        <v>1253</v>
      </c>
      <c r="D2625" s="648">
        <v>0</v>
      </c>
    </row>
    <row r="2626" spans="1:4">
      <c r="A2626" s="107">
        <v>2</v>
      </c>
      <c r="B2626" s="1325"/>
      <c r="C2626" t="s">
        <v>421</v>
      </c>
      <c r="D2626" s="648">
        <v>0</v>
      </c>
    </row>
    <row r="2627" spans="1:4">
      <c r="A2627" s="107">
        <v>2</v>
      </c>
      <c r="B2627" s="1323" t="s">
        <v>1172</v>
      </c>
      <c r="C2627" t="s">
        <v>444</v>
      </c>
      <c r="D2627" s="648">
        <v>0</v>
      </c>
    </row>
    <row r="2628" spans="1:4">
      <c r="A2628" s="107">
        <v>2</v>
      </c>
      <c r="B2628" s="1324"/>
      <c r="C2628" t="s">
        <v>445</v>
      </c>
      <c r="D2628" s="648">
        <v>0</v>
      </c>
    </row>
    <row r="2629" spans="1:4">
      <c r="A2629" s="107">
        <v>2</v>
      </c>
      <c r="B2629" s="1324"/>
      <c r="C2629" t="s">
        <v>446</v>
      </c>
      <c r="D2629" s="648">
        <v>40257.800000000003</v>
      </c>
    </row>
    <row r="2630" spans="1:4">
      <c r="A2630" s="107">
        <v>2</v>
      </c>
      <c r="B2630" s="1324"/>
      <c r="C2630" t="s">
        <v>1253</v>
      </c>
      <c r="D2630" s="648">
        <v>0</v>
      </c>
    </row>
    <row r="2631" spans="1:4" ht="12.75" customHeight="1">
      <c r="A2631" s="107">
        <v>2</v>
      </c>
      <c r="B2631" s="1325"/>
      <c r="C2631" t="s">
        <v>421</v>
      </c>
      <c r="D2631" s="648">
        <v>0</v>
      </c>
    </row>
    <row r="2632" spans="1:4" ht="12.75" customHeight="1">
      <c r="A2632" s="107">
        <v>1</v>
      </c>
      <c r="B2632" s="1323" t="s">
        <v>1173</v>
      </c>
      <c r="C2632" t="s">
        <v>444</v>
      </c>
      <c r="D2632" s="648">
        <v>859580.9</v>
      </c>
    </row>
    <row r="2633" spans="1:4">
      <c r="A2633" s="107">
        <v>1</v>
      </c>
      <c r="B2633" s="1324"/>
      <c r="C2633" t="s">
        <v>445</v>
      </c>
      <c r="D2633" s="648">
        <v>7100.6</v>
      </c>
    </row>
    <row r="2634" spans="1:4">
      <c r="A2634" s="107">
        <v>1</v>
      </c>
      <c r="B2634" s="1324"/>
      <c r="C2634" t="s">
        <v>446</v>
      </c>
      <c r="D2634" s="648">
        <v>17765.8</v>
      </c>
    </row>
    <row r="2635" spans="1:4" ht="14.25" customHeight="1">
      <c r="A2635" s="107">
        <v>1</v>
      </c>
      <c r="B2635" s="1324"/>
      <c r="C2635" t="s">
        <v>1253</v>
      </c>
      <c r="D2635" s="648">
        <v>0</v>
      </c>
    </row>
    <row r="2636" spans="1:4" ht="12.75" customHeight="1">
      <c r="A2636" s="107">
        <v>1</v>
      </c>
      <c r="B2636" s="1325"/>
      <c r="C2636" t="s">
        <v>421</v>
      </c>
      <c r="D2636" s="648">
        <v>31763.5</v>
      </c>
    </row>
    <row r="2637" spans="1:4" ht="12.75" customHeight="1">
      <c r="A2637" s="107">
        <v>4</v>
      </c>
      <c r="B2637" s="1323" t="s">
        <v>1174</v>
      </c>
      <c r="C2637" t="s">
        <v>444</v>
      </c>
      <c r="D2637" s="648">
        <v>776395.4</v>
      </c>
    </row>
    <row r="2638" spans="1:4">
      <c r="A2638" s="107">
        <v>4</v>
      </c>
      <c r="B2638" s="1324"/>
      <c r="C2638" t="s">
        <v>445</v>
      </c>
      <c r="D2638" s="648">
        <v>3405.4</v>
      </c>
    </row>
    <row r="2639" spans="1:4">
      <c r="A2639" s="107">
        <v>4</v>
      </c>
      <c r="B2639" s="1324"/>
      <c r="C2639" t="s">
        <v>446</v>
      </c>
      <c r="D2639" s="648">
        <v>15737.4</v>
      </c>
    </row>
    <row r="2640" spans="1:4">
      <c r="A2640" s="107">
        <v>4</v>
      </c>
      <c r="B2640" s="1324"/>
      <c r="C2640" t="s">
        <v>1253</v>
      </c>
      <c r="D2640" s="648">
        <v>0</v>
      </c>
    </row>
    <row r="2641" spans="1:4">
      <c r="A2641" s="107">
        <v>4</v>
      </c>
      <c r="B2641" s="1325"/>
      <c r="C2641" t="s">
        <v>421</v>
      </c>
      <c r="D2641" s="648">
        <v>13272.6</v>
      </c>
    </row>
    <row r="2642" spans="1:4">
      <c r="A2642" s="107">
        <v>1</v>
      </c>
      <c r="B2642" s="1323" t="s">
        <v>1175</v>
      </c>
      <c r="C2642" t="s">
        <v>444</v>
      </c>
      <c r="D2642" s="648">
        <v>446403.4</v>
      </c>
    </row>
    <row r="2643" spans="1:4">
      <c r="A2643" s="107">
        <v>1</v>
      </c>
      <c r="B2643" s="1324"/>
      <c r="C2643" t="s">
        <v>445</v>
      </c>
      <c r="D2643" s="648">
        <v>0</v>
      </c>
    </row>
    <row r="2644" spans="1:4">
      <c r="A2644" s="107">
        <v>1</v>
      </c>
      <c r="B2644" s="1324"/>
      <c r="C2644" t="s">
        <v>446</v>
      </c>
      <c r="D2644" s="648">
        <v>3613.6</v>
      </c>
    </row>
    <row r="2645" spans="1:4">
      <c r="A2645" s="107">
        <v>1</v>
      </c>
      <c r="B2645" s="1324"/>
      <c r="C2645" t="s">
        <v>1253</v>
      </c>
      <c r="D2645" s="648">
        <v>0</v>
      </c>
    </row>
    <row r="2646" spans="1:4">
      <c r="A2646" s="107">
        <v>1</v>
      </c>
      <c r="B2646" s="1325"/>
      <c r="C2646" t="s">
        <v>421</v>
      </c>
      <c r="D2646" s="648">
        <v>0</v>
      </c>
    </row>
    <row r="2647" spans="1:4">
      <c r="A2647" s="107">
        <v>2</v>
      </c>
      <c r="B2647" s="1323" t="s">
        <v>1176</v>
      </c>
      <c r="C2647" t="s">
        <v>444</v>
      </c>
      <c r="D2647" s="648">
        <v>0</v>
      </c>
    </row>
    <row r="2648" spans="1:4">
      <c r="A2648" s="107">
        <v>2</v>
      </c>
      <c r="B2648" s="1324"/>
      <c r="C2648" t="s">
        <v>445</v>
      </c>
      <c r="D2648" s="648">
        <v>0</v>
      </c>
    </row>
    <row r="2649" spans="1:4">
      <c r="A2649" s="107">
        <v>2</v>
      </c>
      <c r="B2649" s="1324"/>
      <c r="C2649" t="s">
        <v>446</v>
      </c>
      <c r="D2649" s="648">
        <v>17518.400000000001</v>
      </c>
    </row>
    <row r="2650" spans="1:4">
      <c r="A2650" s="107">
        <v>2</v>
      </c>
      <c r="B2650" s="1324"/>
      <c r="C2650" t="s">
        <v>1253</v>
      </c>
      <c r="D2650" s="648">
        <v>0</v>
      </c>
    </row>
    <row r="2651" spans="1:4">
      <c r="A2651" s="107">
        <v>2</v>
      </c>
      <c r="B2651" s="1325"/>
      <c r="C2651" t="s">
        <v>421</v>
      </c>
      <c r="D2651" s="648">
        <v>0</v>
      </c>
    </row>
    <row r="2652" spans="1:4">
      <c r="A2652" s="107">
        <v>1</v>
      </c>
      <c r="B2652" s="1323" t="s">
        <v>1177</v>
      </c>
      <c r="C2652" t="s">
        <v>444</v>
      </c>
      <c r="D2652" s="648">
        <v>1651240.3</v>
      </c>
    </row>
    <row r="2653" spans="1:4">
      <c r="A2653" s="107">
        <v>1</v>
      </c>
      <c r="B2653" s="1324"/>
      <c r="C2653" t="s">
        <v>445</v>
      </c>
      <c r="D2653" s="648">
        <v>215303.5</v>
      </c>
    </row>
    <row r="2654" spans="1:4">
      <c r="A2654" s="107">
        <v>1</v>
      </c>
      <c r="B2654" s="1324"/>
      <c r="C2654" t="s">
        <v>446</v>
      </c>
      <c r="D2654" s="648">
        <v>289504.2</v>
      </c>
    </row>
    <row r="2655" spans="1:4">
      <c r="A2655" s="107">
        <v>1</v>
      </c>
      <c r="B2655" s="1324"/>
      <c r="C2655" t="s">
        <v>1253</v>
      </c>
      <c r="D2655" s="648">
        <v>0</v>
      </c>
    </row>
    <row r="2656" spans="1:4">
      <c r="A2656" s="107">
        <v>1</v>
      </c>
      <c r="B2656" s="1325"/>
      <c r="C2656" t="s">
        <v>421</v>
      </c>
      <c r="D2656" s="648">
        <v>66570.399999999994</v>
      </c>
    </row>
    <row r="2657" spans="1:4">
      <c r="A2657" s="107">
        <v>1</v>
      </c>
      <c r="B2657" s="1323" t="s">
        <v>1178</v>
      </c>
      <c r="C2657" t="s">
        <v>444</v>
      </c>
      <c r="D2657" s="648">
        <v>1113414.1000000001</v>
      </c>
    </row>
    <row r="2658" spans="1:4">
      <c r="A2658" s="107">
        <v>1</v>
      </c>
      <c r="B2658" s="1324"/>
      <c r="C2658" t="s">
        <v>445</v>
      </c>
      <c r="D2658" s="648">
        <v>254468</v>
      </c>
    </row>
    <row r="2659" spans="1:4">
      <c r="A2659" s="107">
        <v>1</v>
      </c>
      <c r="B2659" s="1324"/>
      <c r="C2659" t="s">
        <v>446</v>
      </c>
      <c r="D2659" s="648">
        <v>81517.5</v>
      </c>
    </row>
    <row r="2660" spans="1:4">
      <c r="A2660" s="107">
        <v>1</v>
      </c>
      <c r="B2660" s="1324"/>
      <c r="C2660" t="s">
        <v>1253</v>
      </c>
      <c r="D2660" s="648">
        <v>0</v>
      </c>
    </row>
    <row r="2661" spans="1:4">
      <c r="A2661" s="107">
        <v>1</v>
      </c>
      <c r="B2661" s="1325"/>
      <c r="C2661" t="s">
        <v>421</v>
      </c>
      <c r="D2661" s="648">
        <v>64599.4</v>
      </c>
    </row>
    <row r="2662" spans="1:4">
      <c r="A2662" s="107">
        <v>11</v>
      </c>
      <c r="B2662" s="1323" t="s">
        <v>1179</v>
      </c>
      <c r="C2662" t="s">
        <v>444</v>
      </c>
      <c r="D2662" s="648">
        <v>1137476.1000000001</v>
      </c>
    </row>
    <row r="2663" spans="1:4">
      <c r="A2663" s="107">
        <v>11</v>
      </c>
      <c r="B2663" s="1324"/>
      <c r="C2663" t="s">
        <v>445</v>
      </c>
      <c r="D2663" s="648">
        <v>628383.4</v>
      </c>
    </row>
    <row r="2664" spans="1:4">
      <c r="A2664" s="107">
        <v>11</v>
      </c>
      <c r="B2664" s="1324"/>
      <c r="C2664" t="s">
        <v>446</v>
      </c>
      <c r="D2664" s="648">
        <v>5855.9</v>
      </c>
    </row>
    <row r="2665" spans="1:4">
      <c r="A2665" s="107">
        <v>11</v>
      </c>
      <c r="B2665" s="1324"/>
      <c r="C2665" t="s">
        <v>1253</v>
      </c>
      <c r="D2665" s="648">
        <v>0</v>
      </c>
    </row>
    <row r="2666" spans="1:4">
      <c r="A2666" s="107">
        <v>11</v>
      </c>
      <c r="B2666" s="1325"/>
      <c r="C2666" t="s">
        <v>421</v>
      </c>
      <c r="D2666" s="648">
        <v>28936.1</v>
      </c>
    </row>
    <row r="2667" spans="1:4">
      <c r="A2667" s="107">
        <v>3</v>
      </c>
      <c r="B2667" s="1323" t="s">
        <v>1180</v>
      </c>
      <c r="C2667" t="s">
        <v>444</v>
      </c>
      <c r="D2667" s="648">
        <v>117802.9</v>
      </c>
    </row>
    <row r="2668" spans="1:4">
      <c r="A2668" s="107">
        <v>3</v>
      </c>
      <c r="B2668" s="1324"/>
      <c r="C2668" t="s">
        <v>445</v>
      </c>
      <c r="D2668" s="648">
        <v>0</v>
      </c>
    </row>
    <row r="2669" spans="1:4">
      <c r="A2669" s="107">
        <v>3</v>
      </c>
      <c r="B2669" s="1324"/>
      <c r="C2669" t="s">
        <v>446</v>
      </c>
      <c r="D2669" s="648">
        <v>24162</v>
      </c>
    </row>
    <row r="2670" spans="1:4">
      <c r="A2670" s="107">
        <v>3</v>
      </c>
      <c r="B2670" s="1324"/>
      <c r="C2670" t="s">
        <v>1253</v>
      </c>
      <c r="D2670" s="648">
        <v>0</v>
      </c>
    </row>
    <row r="2671" spans="1:4" ht="12.75" customHeight="1">
      <c r="A2671" s="107">
        <v>3</v>
      </c>
      <c r="B2671" s="1325"/>
      <c r="C2671" t="s">
        <v>421</v>
      </c>
      <c r="D2671" s="648">
        <v>0</v>
      </c>
    </row>
    <row r="2672" spans="1:4" ht="12.75" customHeight="1">
      <c r="A2672" s="107">
        <v>9</v>
      </c>
      <c r="B2672" s="1323" t="s">
        <v>1181</v>
      </c>
      <c r="C2672" t="s">
        <v>444</v>
      </c>
      <c r="D2672" s="648">
        <v>63788.6</v>
      </c>
    </row>
    <row r="2673" spans="1:4">
      <c r="A2673" s="107">
        <v>9</v>
      </c>
      <c r="B2673" s="1324"/>
      <c r="C2673" t="s">
        <v>445</v>
      </c>
      <c r="D2673" s="648">
        <v>0</v>
      </c>
    </row>
    <row r="2674" spans="1:4">
      <c r="A2674" s="107">
        <v>9</v>
      </c>
      <c r="B2674" s="1324"/>
      <c r="C2674" t="s">
        <v>446</v>
      </c>
      <c r="D2674" s="648">
        <v>4948</v>
      </c>
    </row>
    <row r="2675" spans="1:4">
      <c r="A2675" s="107">
        <v>9</v>
      </c>
      <c r="B2675" s="1324"/>
      <c r="C2675" t="s">
        <v>1253</v>
      </c>
      <c r="D2675" s="648">
        <v>0</v>
      </c>
    </row>
    <row r="2676" spans="1:4" ht="12.75" customHeight="1">
      <c r="A2676" s="107">
        <v>9</v>
      </c>
      <c r="B2676" s="1325"/>
      <c r="C2676" t="s">
        <v>421</v>
      </c>
      <c r="D2676" s="648">
        <v>0</v>
      </c>
    </row>
    <row r="2677" spans="1:4" ht="12.75" customHeight="1">
      <c r="A2677" s="107">
        <v>2</v>
      </c>
      <c r="B2677" s="1323" t="s">
        <v>1182</v>
      </c>
      <c r="C2677" t="s">
        <v>444</v>
      </c>
      <c r="D2677" s="648">
        <v>0</v>
      </c>
    </row>
    <row r="2678" spans="1:4">
      <c r="A2678" s="107">
        <v>2</v>
      </c>
      <c r="B2678" s="1324"/>
      <c r="C2678" t="s">
        <v>445</v>
      </c>
      <c r="D2678" s="648">
        <v>0</v>
      </c>
    </row>
    <row r="2679" spans="1:4">
      <c r="A2679" s="107">
        <v>2</v>
      </c>
      <c r="B2679" s="1324"/>
      <c r="C2679" t="s">
        <v>446</v>
      </c>
      <c r="D2679" s="648">
        <v>8758.4</v>
      </c>
    </row>
    <row r="2680" spans="1:4">
      <c r="A2680" s="107">
        <v>2</v>
      </c>
      <c r="B2680" s="1324"/>
      <c r="C2680" t="s">
        <v>1253</v>
      </c>
      <c r="D2680" s="648">
        <v>0</v>
      </c>
    </row>
    <row r="2681" spans="1:4" ht="12.75" customHeight="1">
      <c r="A2681" s="107">
        <v>2</v>
      </c>
      <c r="B2681" s="1325"/>
      <c r="C2681" t="s">
        <v>421</v>
      </c>
      <c r="D2681" s="648">
        <v>0</v>
      </c>
    </row>
    <row r="2682" spans="1:4" ht="12.75" customHeight="1">
      <c r="A2682" s="107">
        <v>2</v>
      </c>
      <c r="B2682" s="1323" t="s">
        <v>1183</v>
      </c>
      <c r="C2682" t="s">
        <v>444</v>
      </c>
      <c r="D2682" s="648">
        <v>0</v>
      </c>
    </row>
    <row r="2683" spans="1:4">
      <c r="A2683" s="107">
        <v>2</v>
      </c>
      <c r="B2683" s="1324"/>
      <c r="C2683" t="s">
        <v>445</v>
      </c>
      <c r="D2683" s="648">
        <v>0</v>
      </c>
    </row>
    <row r="2684" spans="1:4">
      <c r="A2684" s="107">
        <v>2</v>
      </c>
      <c r="B2684" s="1324"/>
      <c r="C2684" t="s">
        <v>446</v>
      </c>
      <c r="D2684" s="648">
        <v>4156.8</v>
      </c>
    </row>
    <row r="2685" spans="1:4">
      <c r="A2685" s="107">
        <v>2</v>
      </c>
      <c r="B2685" s="1324"/>
      <c r="C2685" t="s">
        <v>1253</v>
      </c>
      <c r="D2685" s="648">
        <v>0</v>
      </c>
    </row>
    <row r="2686" spans="1:4" ht="12.75" customHeight="1">
      <c r="A2686" s="107">
        <v>2</v>
      </c>
      <c r="B2686" s="1325"/>
      <c r="C2686" t="s">
        <v>421</v>
      </c>
      <c r="D2686" s="648">
        <v>0</v>
      </c>
    </row>
    <row r="2687" spans="1:4" ht="12.75" customHeight="1">
      <c r="A2687" s="107">
        <v>2</v>
      </c>
      <c r="B2687" s="1323" t="s">
        <v>1560</v>
      </c>
      <c r="C2687" t="s">
        <v>444</v>
      </c>
      <c r="D2687" s="648">
        <v>0</v>
      </c>
    </row>
    <row r="2688" spans="1:4">
      <c r="A2688" s="107">
        <v>2</v>
      </c>
      <c r="B2688" s="1324"/>
      <c r="C2688" t="s">
        <v>445</v>
      </c>
      <c r="D2688" s="648">
        <v>0</v>
      </c>
    </row>
    <row r="2689" spans="1:4">
      <c r="A2689" s="107">
        <v>2</v>
      </c>
      <c r="B2689" s="1324"/>
      <c r="C2689" t="s">
        <v>446</v>
      </c>
      <c r="D2689" s="648">
        <v>9050.2000000000007</v>
      </c>
    </row>
    <row r="2690" spans="1:4">
      <c r="A2690" s="107">
        <v>2</v>
      </c>
      <c r="B2690" s="1324"/>
      <c r="C2690" t="s">
        <v>1253</v>
      </c>
      <c r="D2690" s="648">
        <v>0</v>
      </c>
    </row>
    <row r="2691" spans="1:4" ht="12.75" customHeight="1">
      <c r="A2691" s="107">
        <v>2</v>
      </c>
      <c r="B2691" s="1325"/>
      <c r="C2691" t="s">
        <v>421</v>
      </c>
      <c r="D2691" s="648">
        <v>0</v>
      </c>
    </row>
    <row r="2692" spans="1:4" ht="12.75" customHeight="1">
      <c r="A2692" s="107">
        <v>1</v>
      </c>
      <c r="B2692" s="1323" t="s">
        <v>2161</v>
      </c>
      <c r="C2692" t="s">
        <v>444</v>
      </c>
      <c r="D2692" s="648">
        <v>0</v>
      </c>
    </row>
    <row r="2693" spans="1:4" ht="12.75" customHeight="1">
      <c r="A2693" s="107">
        <v>1</v>
      </c>
      <c r="B2693" s="1324"/>
      <c r="C2693" t="s">
        <v>445</v>
      </c>
      <c r="D2693" s="648">
        <v>0</v>
      </c>
    </row>
    <row r="2694" spans="1:4" ht="12.75" customHeight="1">
      <c r="A2694" s="107">
        <v>1</v>
      </c>
      <c r="B2694" s="1324"/>
      <c r="C2694" t="s">
        <v>446</v>
      </c>
      <c r="D2694" s="648">
        <v>7985.2</v>
      </c>
    </row>
    <row r="2695" spans="1:4" ht="12.75" customHeight="1">
      <c r="A2695" s="107">
        <v>1</v>
      </c>
      <c r="B2695" s="1324"/>
      <c r="C2695" t="s">
        <v>1253</v>
      </c>
      <c r="D2695" s="648">
        <v>0</v>
      </c>
    </row>
    <row r="2696" spans="1:4" ht="12.75" customHeight="1">
      <c r="A2696" s="107">
        <v>1</v>
      </c>
      <c r="B2696" s="1325"/>
      <c r="C2696" t="s">
        <v>421</v>
      </c>
      <c r="D2696" s="648">
        <v>0</v>
      </c>
    </row>
    <row r="2697" spans="1:4" ht="12.75" customHeight="1">
      <c r="A2697" s="107">
        <v>2</v>
      </c>
      <c r="B2697" s="1323" t="s">
        <v>1184</v>
      </c>
      <c r="C2697" t="s">
        <v>444</v>
      </c>
      <c r="D2697" s="648">
        <v>0</v>
      </c>
    </row>
    <row r="2698" spans="1:4">
      <c r="A2698" s="107">
        <v>2</v>
      </c>
      <c r="B2698" s="1324"/>
      <c r="C2698" t="s">
        <v>445</v>
      </c>
      <c r="D2698" s="648">
        <v>0</v>
      </c>
    </row>
    <row r="2699" spans="1:4">
      <c r="A2699" s="107">
        <v>2</v>
      </c>
      <c r="B2699" s="1324"/>
      <c r="C2699" t="s">
        <v>446</v>
      </c>
      <c r="D2699" s="648">
        <v>155430.39999999999</v>
      </c>
    </row>
    <row r="2700" spans="1:4">
      <c r="A2700" s="107">
        <v>2</v>
      </c>
      <c r="B2700" s="1324"/>
      <c r="C2700" t="s">
        <v>1253</v>
      </c>
      <c r="D2700" s="648">
        <v>0</v>
      </c>
    </row>
    <row r="2701" spans="1:4" ht="12.75" customHeight="1">
      <c r="A2701" s="107">
        <v>2</v>
      </c>
      <c r="B2701" s="1325"/>
      <c r="C2701" t="s">
        <v>421</v>
      </c>
      <c r="D2701" s="648">
        <v>0</v>
      </c>
    </row>
    <row r="2702" spans="1:4" ht="12.75" customHeight="1">
      <c r="A2702" s="107">
        <v>2</v>
      </c>
      <c r="B2702" s="1323" t="s">
        <v>1185</v>
      </c>
      <c r="C2702" t="s">
        <v>444</v>
      </c>
      <c r="D2702" s="648">
        <v>0</v>
      </c>
    </row>
    <row r="2703" spans="1:4">
      <c r="A2703" s="107">
        <v>2</v>
      </c>
      <c r="B2703" s="1324"/>
      <c r="C2703" t="s">
        <v>445</v>
      </c>
      <c r="D2703" s="648">
        <v>0</v>
      </c>
    </row>
    <row r="2704" spans="1:4">
      <c r="A2704" s="107">
        <v>2</v>
      </c>
      <c r="B2704" s="1324"/>
      <c r="C2704" t="s">
        <v>446</v>
      </c>
      <c r="D2704" s="648">
        <v>82637.600000000006</v>
      </c>
    </row>
    <row r="2705" spans="1:4">
      <c r="A2705" s="107">
        <v>2</v>
      </c>
      <c r="B2705" s="1324"/>
      <c r="C2705" t="s">
        <v>1253</v>
      </c>
      <c r="D2705" s="648">
        <v>0</v>
      </c>
    </row>
    <row r="2706" spans="1:4">
      <c r="A2706" s="107">
        <v>2</v>
      </c>
      <c r="B2706" s="1325"/>
      <c r="C2706" t="s">
        <v>421</v>
      </c>
      <c r="D2706" s="648">
        <v>0</v>
      </c>
    </row>
    <row r="2707" spans="1:4">
      <c r="A2707" s="107">
        <v>1</v>
      </c>
      <c r="B2707" s="1323" t="s">
        <v>2162</v>
      </c>
      <c r="C2707" t="s">
        <v>444</v>
      </c>
      <c r="D2707" s="648">
        <v>0</v>
      </c>
    </row>
    <row r="2708" spans="1:4">
      <c r="A2708" s="107">
        <v>1</v>
      </c>
      <c r="B2708" s="1324"/>
      <c r="C2708" t="s">
        <v>445</v>
      </c>
      <c r="D2708" s="648">
        <v>0</v>
      </c>
    </row>
    <row r="2709" spans="1:4">
      <c r="A2709" s="107">
        <v>1</v>
      </c>
      <c r="B2709" s="1324"/>
      <c r="C2709" t="s">
        <v>446</v>
      </c>
      <c r="D2709" s="648">
        <v>4009.7</v>
      </c>
    </row>
    <row r="2710" spans="1:4">
      <c r="A2710" s="107">
        <v>1</v>
      </c>
      <c r="B2710" s="1324"/>
      <c r="C2710" t="s">
        <v>1253</v>
      </c>
      <c r="D2710" s="648">
        <v>0</v>
      </c>
    </row>
    <row r="2711" spans="1:4">
      <c r="A2711" s="107">
        <v>1</v>
      </c>
      <c r="B2711" s="1324"/>
      <c r="C2711" t="s">
        <v>421</v>
      </c>
      <c r="D2711" s="648">
        <v>0</v>
      </c>
    </row>
    <row r="2712" spans="1:4">
      <c r="A2712" s="107">
        <v>1</v>
      </c>
      <c r="B2712" s="1324" t="s">
        <v>2163</v>
      </c>
      <c r="C2712" t="s">
        <v>444</v>
      </c>
      <c r="D2712" s="648">
        <v>0</v>
      </c>
    </row>
    <row r="2713" spans="1:4">
      <c r="A2713" s="107">
        <v>1</v>
      </c>
      <c r="B2713" s="1324"/>
      <c r="C2713" t="s">
        <v>445</v>
      </c>
      <c r="D2713" s="648">
        <v>0</v>
      </c>
    </row>
    <row r="2714" spans="1:4">
      <c r="A2714" s="107">
        <v>1</v>
      </c>
      <c r="B2714" s="1324"/>
      <c r="C2714" t="s">
        <v>446</v>
      </c>
      <c r="D2714" s="648">
        <v>8005.4</v>
      </c>
    </row>
    <row r="2715" spans="1:4">
      <c r="A2715" s="107">
        <v>1</v>
      </c>
      <c r="B2715" s="1324"/>
      <c r="C2715" t="s">
        <v>1253</v>
      </c>
      <c r="D2715" s="648">
        <v>0</v>
      </c>
    </row>
    <row r="2716" spans="1:4">
      <c r="A2716" s="107">
        <v>1</v>
      </c>
      <c r="B2716" s="1325"/>
      <c r="C2716" t="s">
        <v>421</v>
      </c>
      <c r="D2716" s="648">
        <v>0</v>
      </c>
    </row>
    <row r="2717" spans="1:4" s="645" customFormat="1">
      <c r="A2717" s="644">
        <v>1</v>
      </c>
      <c r="B2717" s="1323" t="s">
        <v>1186</v>
      </c>
      <c r="C2717" s="645" t="s">
        <v>444</v>
      </c>
      <c r="D2717" s="223">
        <v>1670641.3</v>
      </c>
    </row>
    <row r="2718" spans="1:4">
      <c r="A2718" s="107">
        <v>1</v>
      </c>
      <c r="B2718" s="1324"/>
      <c r="C2718" t="s">
        <v>445</v>
      </c>
      <c r="D2718" s="223">
        <v>513196.9</v>
      </c>
    </row>
    <row r="2719" spans="1:4">
      <c r="A2719" s="107">
        <v>1</v>
      </c>
      <c r="B2719" s="1324"/>
      <c r="C2719" t="s">
        <v>446</v>
      </c>
      <c r="D2719" s="223">
        <v>135996.5</v>
      </c>
    </row>
    <row r="2720" spans="1:4">
      <c r="A2720" s="107">
        <v>1</v>
      </c>
      <c r="B2720" s="1324"/>
      <c r="C2720" t="s">
        <v>1253</v>
      </c>
      <c r="D2720" s="223">
        <v>0</v>
      </c>
    </row>
    <row r="2721" spans="1:4" ht="12.75" customHeight="1">
      <c r="A2721" s="107">
        <v>1</v>
      </c>
      <c r="B2721" s="1325"/>
      <c r="C2721" t="s">
        <v>421</v>
      </c>
      <c r="D2721" s="223">
        <v>151.4</v>
      </c>
    </row>
    <row r="2722" spans="1:4" ht="12.75" customHeight="1">
      <c r="A2722" s="107">
        <v>2</v>
      </c>
      <c r="B2722" s="1323" t="s">
        <v>1187</v>
      </c>
      <c r="C2722" t="s">
        <v>444</v>
      </c>
      <c r="D2722" s="223">
        <v>0</v>
      </c>
    </row>
    <row r="2723" spans="1:4">
      <c r="A2723" s="107">
        <v>2</v>
      </c>
      <c r="B2723" s="1324"/>
      <c r="C2723" t="s">
        <v>445</v>
      </c>
      <c r="D2723" s="223">
        <v>0</v>
      </c>
    </row>
    <row r="2724" spans="1:4">
      <c r="A2724" s="107">
        <v>2</v>
      </c>
      <c r="B2724" s="1324"/>
      <c r="C2724" t="s">
        <v>446</v>
      </c>
      <c r="D2724" s="223">
        <v>20932.099999999999</v>
      </c>
    </row>
    <row r="2725" spans="1:4">
      <c r="A2725" s="107">
        <v>2</v>
      </c>
      <c r="B2725" s="1324"/>
      <c r="C2725" t="s">
        <v>1253</v>
      </c>
      <c r="D2725" s="223">
        <v>0</v>
      </c>
    </row>
    <row r="2726" spans="1:4" ht="12.75" customHeight="1">
      <c r="A2726" s="107">
        <v>2</v>
      </c>
      <c r="B2726" s="1325"/>
      <c r="C2726" t="s">
        <v>421</v>
      </c>
      <c r="D2726" s="223">
        <v>0</v>
      </c>
    </row>
    <row r="2727" spans="1:4" ht="12.75" customHeight="1">
      <c r="A2727" s="107">
        <v>1</v>
      </c>
      <c r="B2727" s="1323" t="s">
        <v>1188</v>
      </c>
      <c r="C2727" t="s">
        <v>444</v>
      </c>
      <c r="D2727" s="223">
        <v>1070103.3</v>
      </c>
    </row>
    <row r="2728" spans="1:4">
      <c r="A2728" s="107">
        <v>1</v>
      </c>
      <c r="B2728" s="1324"/>
      <c r="C2728" t="s">
        <v>445</v>
      </c>
      <c r="D2728" s="223">
        <v>0</v>
      </c>
    </row>
    <row r="2729" spans="1:4">
      <c r="A2729" s="107">
        <v>1</v>
      </c>
      <c r="B2729" s="1324"/>
      <c r="C2729" t="s">
        <v>446</v>
      </c>
      <c r="D2729" s="223">
        <v>38616.199999999997</v>
      </c>
    </row>
    <row r="2730" spans="1:4">
      <c r="A2730" s="107">
        <v>1</v>
      </c>
      <c r="B2730" s="1324"/>
      <c r="C2730" t="s">
        <v>1253</v>
      </c>
      <c r="D2730" s="223">
        <v>0</v>
      </c>
    </row>
    <row r="2731" spans="1:4" ht="12.75" customHeight="1">
      <c r="A2731" s="107">
        <v>1</v>
      </c>
      <c r="B2731" s="1325"/>
      <c r="C2731" t="s">
        <v>421</v>
      </c>
      <c r="D2731" s="223">
        <v>0</v>
      </c>
    </row>
    <row r="2732" spans="1:4" ht="12.75" customHeight="1">
      <c r="A2732" s="107">
        <v>1</v>
      </c>
      <c r="B2732" s="1323" t="s">
        <v>1189</v>
      </c>
      <c r="C2732" t="s">
        <v>444</v>
      </c>
      <c r="D2732" s="223">
        <v>0</v>
      </c>
    </row>
    <row r="2733" spans="1:4">
      <c r="A2733" s="107">
        <v>1</v>
      </c>
      <c r="B2733" s="1324"/>
      <c r="C2733" t="s">
        <v>445</v>
      </c>
      <c r="D2733" s="223">
        <v>0</v>
      </c>
    </row>
    <row r="2734" spans="1:4">
      <c r="A2734" s="107">
        <v>1</v>
      </c>
      <c r="B2734" s="1324"/>
      <c r="C2734" t="s">
        <v>446</v>
      </c>
      <c r="D2734" s="223">
        <v>51051.6</v>
      </c>
    </row>
    <row r="2735" spans="1:4">
      <c r="A2735" s="107">
        <v>1</v>
      </c>
      <c r="B2735" s="1324"/>
      <c r="C2735" t="s">
        <v>1253</v>
      </c>
      <c r="D2735" s="223">
        <v>0</v>
      </c>
    </row>
    <row r="2736" spans="1:4" ht="12.75" customHeight="1">
      <c r="A2736" s="107">
        <v>1</v>
      </c>
      <c r="B2736" s="1325"/>
      <c r="C2736" t="s">
        <v>421</v>
      </c>
      <c r="D2736" s="223">
        <v>0</v>
      </c>
    </row>
    <row r="2737" spans="1:4" ht="12.75" customHeight="1">
      <c r="A2737" s="107">
        <v>1</v>
      </c>
      <c r="B2737" s="1323" t="s">
        <v>1190</v>
      </c>
      <c r="C2737" t="s">
        <v>444</v>
      </c>
      <c r="D2737" s="223">
        <v>2753111.5</v>
      </c>
    </row>
    <row r="2738" spans="1:4">
      <c r="A2738" s="107">
        <v>1</v>
      </c>
      <c r="B2738" s="1324"/>
      <c r="C2738" t="s">
        <v>445</v>
      </c>
      <c r="D2738" s="223">
        <v>889557.8</v>
      </c>
    </row>
    <row r="2739" spans="1:4">
      <c r="A2739" s="107">
        <v>1</v>
      </c>
      <c r="B2739" s="1324"/>
      <c r="C2739" t="s">
        <v>446</v>
      </c>
      <c r="D2739" s="223">
        <v>332582.2</v>
      </c>
    </row>
    <row r="2740" spans="1:4">
      <c r="A2740" s="107">
        <v>1</v>
      </c>
      <c r="B2740" s="1324"/>
      <c r="C2740" t="s">
        <v>1253</v>
      </c>
      <c r="D2740" s="223">
        <v>0</v>
      </c>
    </row>
    <row r="2741" spans="1:4" ht="12.75" customHeight="1">
      <c r="A2741" s="107">
        <v>1</v>
      </c>
      <c r="B2741" s="1325"/>
      <c r="C2741" t="s">
        <v>421</v>
      </c>
      <c r="D2741" s="223">
        <v>52000.4</v>
      </c>
    </row>
    <row r="2742" spans="1:4" ht="12.75" customHeight="1">
      <c r="A2742" s="107">
        <v>2</v>
      </c>
      <c r="B2742" s="1323" t="s">
        <v>1191</v>
      </c>
      <c r="C2742" t="s">
        <v>444</v>
      </c>
      <c r="D2742" s="223">
        <v>0</v>
      </c>
    </row>
    <row r="2743" spans="1:4">
      <c r="A2743" s="107">
        <v>2</v>
      </c>
      <c r="B2743" s="1324"/>
      <c r="C2743" t="s">
        <v>445</v>
      </c>
      <c r="D2743" s="223">
        <v>0</v>
      </c>
    </row>
    <row r="2744" spans="1:4">
      <c r="A2744" s="107">
        <v>2</v>
      </c>
      <c r="B2744" s="1324"/>
      <c r="C2744" t="s">
        <v>446</v>
      </c>
      <c r="D2744" s="223">
        <v>20593.2</v>
      </c>
    </row>
    <row r="2745" spans="1:4">
      <c r="A2745" s="107">
        <v>2</v>
      </c>
      <c r="B2745" s="1324"/>
      <c r="C2745" t="s">
        <v>1253</v>
      </c>
      <c r="D2745" s="223">
        <v>0</v>
      </c>
    </row>
    <row r="2746" spans="1:4" ht="12.75" customHeight="1">
      <c r="A2746" s="107">
        <v>2</v>
      </c>
      <c r="B2746" s="1325"/>
      <c r="C2746" t="s">
        <v>421</v>
      </c>
      <c r="D2746" s="223">
        <v>0</v>
      </c>
    </row>
    <row r="2747" spans="1:4" ht="24" customHeight="1">
      <c r="A2747" s="107">
        <v>1</v>
      </c>
      <c r="B2747" s="1323" t="s">
        <v>1192</v>
      </c>
      <c r="C2747" t="s">
        <v>444</v>
      </c>
      <c r="D2747" s="223">
        <v>68515.5</v>
      </c>
    </row>
    <row r="2748" spans="1:4" ht="12.75" customHeight="1">
      <c r="A2748" s="107">
        <v>1</v>
      </c>
      <c r="B2748" s="1324"/>
      <c r="C2748" t="s">
        <v>445</v>
      </c>
      <c r="D2748" s="223">
        <v>0</v>
      </c>
    </row>
    <row r="2749" spans="1:4">
      <c r="A2749" s="107">
        <v>1</v>
      </c>
      <c r="B2749" s="1324"/>
      <c r="C2749" t="s">
        <v>446</v>
      </c>
      <c r="D2749" s="223">
        <v>41649.1</v>
      </c>
    </row>
    <row r="2750" spans="1:4">
      <c r="A2750" s="107">
        <v>1</v>
      </c>
      <c r="B2750" s="1324"/>
      <c r="C2750" t="s">
        <v>1253</v>
      </c>
      <c r="D2750" s="223">
        <v>0</v>
      </c>
    </row>
    <row r="2751" spans="1:4" ht="12.75" customHeight="1">
      <c r="A2751" s="107">
        <v>1</v>
      </c>
      <c r="B2751" s="1325"/>
      <c r="C2751" t="s">
        <v>421</v>
      </c>
      <c r="D2751" s="223">
        <v>0</v>
      </c>
    </row>
    <row r="2752" spans="1:4" ht="12.75" customHeight="1">
      <c r="A2752" s="107">
        <v>2</v>
      </c>
      <c r="B2752" s="1323" t="s">
        <v>1193</v>
      </c>
      <c r="C2752" t="s">
        <v>444</v>
      </c>
      <c r="D2752" s="223">
        <v>0</v>
      </c>
    </row>
    <row r="2753" spans="1:4">
      <c r="A2753" s="107">
        <v>2</v>
      </c>
      <c r="B2753" s="1324"/>
      <c r="C2753" t="s">
        <v>445</v>
      </c>
      <c r="D2753" s="223">
        <v>0</v>
      </c>
    </row>
    <row r="2754" spans="1:4">
      <c r="A2754" s="107">
        <v>2</v>
      </c>
      <c r="B2754" s="1324"/>
      <c r="C2754" t="s">
        <v>446</v>
      </c>
      <c r="D2754" s="223">
        <v>41022.6</v>
      </c>
    </row>
    <row r="2755" spans="1:4">
      <c r="A2755" s="107">
        <v>2</v>
      </c>
      <c r="B2755" s="1324"/>
      <c r="C2755" t="s">
        <v>1253</v>
      </c>
      <c r="D2755" s="223">
        <v>0</v>
      </c>
    </row>
    <row r="2756" spans="1:4" ht="12.75" customHeight="1">
      <c r="A2756" s="107">
        <v>2</v>
      </c>
      <c r="B2756" s="1325"/>
      <c r="C2756" t="s">
        <v>421</v>
      </c>
      <c r="D2756" s="223">
        <v>0</v>
      </c>
    </row>
    <row r="2757" spans="1:4" ht="12.75" customHeight="1">
      <c r="A2757" s="107">
        <v>4</v>
      </c>
      <c r="B2757" s="1323" t="s">
        <v>1194</v>
      </c>
      <c r="C2757" t="s">
        <v>444</v>
      </c>
      <c r="D2757" s="223">
        <v>1469545.1</v>
      </c>
    </row>
    <row r="2758" spans="1:4">
      <c r="A2758" s="107">
        <v>4</v>
      </c>
      <c r="B2758" s="1324"/>
      <c r="C2758" t="s">
        <v>445</v>
      </c>
      <c r="D2758" s="223">
        <v>0</v>
      </c>
    </row>
    <row r="2759" spans="1:4">
      <c r="A2759" s="107">
        <v>4</v>
      </c>
      <c r="B2759" s="1324"/>
      <c r="C2759" t="s">
        <v>446</v>
      </c>
      <c r="D2759" s="223">
        <v>0</v>
      </c>
    </row>
    <row r="2760" spans="1:4">
      <c r="A2760" s="107">
        <v>4</v>
      </c>
      <c r="B2760" s="1324"/>
      <c r="C2760" t="s">
        <v>1253</v>
      </c>
      <c r="D2760" s="223">
        <v>0</v>
      </c>
    </row>
    <row r="2761" spans="1:4" ht="12.75" customHeight="1">
      <c r="A2761" s="107">
        <v>4</v>
      </c>
      <c r="B2761" s="1325"/>
      <c r="C2761" t="s">
        <v>421</v>
      </c>
      <c r="D2761" s="223">
        <v>0</v>
      </c>
    </row>
    <row r="2762" spans="1:4" ht="12.75" customHeight="1">
      <c r="A2762" s="107">
        <v>2</v>
      </c>
      <c r="B2762" s="1323" t="s">
        <v>1196</v>
      </c>
      <c r="C2762" t="s">
        <v>444</v>
      </c>
      <c r="D2762" s="223">
        <v>0</v>
      </c>
    </row>
    <row r="2763" spans="1:4">
      <c r="A2763" s="107">
        <v>2</v>
      </c>
      <c r="B2763" s="1324"/>
      <c r="C2763" t="s">
        <v>445</v>
      </c>
      <c r="D2763" s="223">
        <v>0</v>
      </c>
    </row>
    <row r="2764" spans="1:4">
      <c r="A2764" s="107">
        <v>2</v>
      </c>
      <c r="B2764" s="1324"/>
      <c r="C2764" t="s">
        <v>446</v>
      </c>
      <c r="D2764" s="223">
        <v>32704.7</v>
      </c>
    </row>
    <row r="2765" spans="1:4">
      <c r="A2765" s="107">
        <v>2</v>
      </c>
      <c r="B2765" s="1324"/>
      <c r="C2765" t="s">
        <v>1253</v>
      </c>
      <c r="D2765" s="223">
        <v>0</v>
      </c>
    </row>
    <row r="2766" spans="1:4" ht="12.75" customHeight="1">
      <c r="A2766" s="107">
        <v>2</v>
      </c>
      <c r="B2766" s="1325"/>
      <c r="C2766" t="s">
        <v>421</v>
      </c>
      <c r="D2766" s="223">
        <v>0</v>
      </c>
    </row>
    <row r="2767" spans="1:4" ht="12.75" customHeight="1">
      <c r="A2767" s="107">
        <v>2</v>
      </c>
      <c r="B2767" s="1323" t="s">
        <v>1197</v>
      </c>
      <c r="C2767" t="s">
        <v>444</v>
      </c>
      <c r="D2767" s="223">
        <v>0</v>
      </c>
    </row>
    <row r="2768" spans="1:4">
      <c r="A2768" s="107">
        <v>2</v>
      </c>
      <c r="B2768" s="1324"/>
      <c r="C2768" t="s">
        <v>445</v>
      </c>
      <c r="D2768" s="223">
        <v>0</v>
      </c>
    </row>
    <row r="2769" spans="1:4">
      <c r="A2769" s="107">
        <v>2</v>
      </c>
      <c r="B2769" s="1324"/>
      <c r="C2769" t="s">
        <v>446</v>
      </c>
      <c r="D2769" s="223">
        <v>16952.2</v>
      </c>
    </row>
    <row r="2770" spans="1:4">
      <c r="A2770" s="107">
        <v>2</v>
      </c>
      <c r="B2770" s="1324"/>
      <c r="C2770" t="s">
        <v>1253</v>
      </c>
      <c r="D2770" s="223">
        <v>0</v>
      </c>
    </row>
    <row r="2771" spans="1:4" ht="12.75" customHeight="1">
      <c r="A2771" s="107">
        <v>2</v>
      </c>
      <c r="B2771" s="1325"/>
      <c r="C2771" t="s">
        <v>421</v>
      </c>
      <c r="D2771" s="223">
        <v>0</v>
      </c>
    </row>
    <row r="2772" spans="1:4" ht="12.75" customHeight="1">
      <c r="A2772" s="107">
        <v>9</v>
      </c>
      <c r="B2772" s="1323" t="s">
        <v>1198</v>
      </c>
      <c r="C2772" t="s">
        <v>444</v>
      </c>
      <c r="D2772" s="223">
        <v>260324.2</v>
      </c>
    </row>
    <row r="2773" spans="1:4">
      <c r="A2773" s="107">
        <v>9</v>
      </c>
      <c r="B2773" s="1324"/>
      <c r="C2773" t="s">
        <v>445</v>
      </c>
      <c r="D2773" s="223">
        <v>17812.3</v>
      </c>
    </row>
    <row r="2774" spans="1:4">
      <c r="A2774" s="107">
        <v>9</v>
      </c>
      <c r="B2774" s="1324"/>
      <c r="C2774" t="s">
        <v>446</v>
      </c>
      <c r="D2774" s="223">
        <v>21401.5</v>
      </c>
    </row>
    <row r="2775" spans="1:4">
      <c r="A2775" s="107">
        <v>9</v>
      </c>
      <c r="B2775" s="1324"/>
      <c r="C2775" t="s">
        <v>1253</v>
      </c>
      <c r="D2775" s="223">
        <v>0</v>
      </c>
    </row>
    <row r="2776" spans="1:4">
      <c r="A2776" s="107">
        <v>9</v>
      </c>
      <c r="B2776" s="1325"/>
      <c r="C2776" t="s">
        <v>421</v>
      </c>
      <c r="D2776" s="223">
        <v>0</v>
      </c>
    </row>
    <row r="2777" spans="1:4">
      <c r="A2777" s="107">
        <v>11</v>
      </c>
      <c r="B2777" s="1323" t="s">
        <v>1199</v>
      </c>
      <c r="C2777" t="s">
        <v>444</v>
      </c>
      <c r="D2777" s="223">
        <v>1491020.8</v>
      </c>
    </row>
    <row r="2778" spans="1:4">
      <c r="A2778" s="107">
        <v>11</v>
      </c>
      <c r="B2778" s="1324"/>
      <c r="C2778" t="s">
        <v>445</v>
      </c>
      <c r="D2778" s="223">
        <v>933671.1</v>
      </c>
    </row>
    <row r="2779" spans="1:4">
      <c r="A2779" s="107">
        <v>11</v>
      </c>
      <c r="B2779" s="1324"/>
      <c r="C2779" t="s">
        <v>446</v>
      </c>
      <c r="D2779" s="223">
        <v>20037</v>
      </c>
    </row>
    <row r="2780" spans="1:4">
      <c r="A2780" s="107">
        <v>11</v>
      </c>
      <c r="B2780" s="1324"/>
      <c r="C2780" t="s">
        <v>1253</v>
      </c>
      <c r="D2780" s="223">
        <v>0</v>
      </c>
    </row>
    <row r="2781" spans="1:4" ht="12.75" customHeight="1">
      <c r="A2781" s="107">
        <v>11</v>
      </c>
      <c r="B2781" s="1325"/>
      <c r="C2781" t="s">
        <v>421</v>
      </c>
      <c r="D2781" s="223">
        <v>0</v>
      </c>
    </row>
    <row r="2782" spans="1:4" ht="12.75" customHeight="1">
      <c r="A2782" s="107">
        <v>2</v>
      </c>
      <c r="B2782" s="1323" t="s">
        <v>1200</v>
      </c>
      <c r="C2782" t="s">
        <v>444</v>
      </c>
      <c r="D2782" s="223">
        <v>0</v>
      </c>
    </row>
    <row r="2783" spans="1:4">
      <c r="A2783" s="107">
        <v>2</v>
      </c>
      <c r="B2783" s="1324"/>
      <c r="C2783" t="s">
        <v>445</v>
      </c>
      <c r="D2783" s="223">
        <v>0</v>
      </c>
    </row>
    <row r="2784" spans="1:4">
      <c r="A2784" s="107">
        <v>2</v>
      </c>
      <c r="B2784" s="1324"/>
      <c r="C2784" t="s">
        <v>446</v>
      </c>
      <c r="D2784" s="223">
        <v>24726</v>
      </c>
    </row>
    <row r="2785" spans="1:4">
      <c r="A2785" s="107">
        <v>2</v>
      </c>
      <c r="B2785" s="1324"/>
      <c r="C2785" t="s">
        <v>1253</v>
      </c>
      <c r="D2785" s="223">
        <v>0</v>
      </c>
    </row>
    <row r="2786" spans="1:4" ht="12.75" customHeight="1">
      <c r="A2786" s="107">
        <v>2</v>
      </c>
      <c r="B2786" s="1325"/>
      <c r="C2786" t="s">
        <v>421</v>
      </c>
      <c r="D2786" s="223">
        <v>0</v>
      </c>
    </row>
    <row r="2787" spans="1:4" ht="12.75" customHeight="1">
      <c r="A2787" s="107">
        <v>1</v>
      </c>
      <c r="B2787" s="1323" t="s">
        <v>1201</v>
      </c>
      <c r="C2787" t="s">
        <v>444</v>
      </c>
      <c r="D2787" s="223">
        <v>594435.69999999995</v>
      </c>
    </row>
    <row r="2788" spans="1:4">
      <c r="A2788" s="107">
        <v>1</v>
      </c>
      <c r="B2788" s="1324"/>
      <c r="C2788" t="s">
        <v>445</v>
      </c>
      <c r="D2788" s="223">
        <v>0</v>
      </c>
    </row>
    <row r="2789" spans="1:4">
      <c r="A2789" s="107">
        <v>1</v>
      </c>
      <c r="B2789" s="1324"/>
      <c r="C2789" t="s">
        <v>446</v>
      </c>
      <c r="D2789" s="223">
        <v>48205.5</v>
      </c>
    </row>
    <row r="2790" spans="1:4">
      <c r="A2790" s="107">
        <v>1</v>
      </c>
      <c r="B2790" s="1324"/>
      <c r="C2790" t="s">
        <v>1253</v>
      </c>
      <c r="D2790" s="223">
        <v>0</v>
      </c>
    </row>
    <row r="2791" spans="1:4" ht="12.75" customHeight="1">
      <c r="A2791" s="107">
        <v>1</v>
      </c>
      <c r="B2791" s="1325"/>
      <c r="C2791" t="s">
        <v>421</v>
      </c>
      <c r="D2791" s="223">
        <v>0</v>
      </c>
    </row>
    <row r="2792" spans="1:4" ht="12.75" customHeight="1">
      <c r="A2792" s="107">
        <v>1</v>
      </c>
      <c r="B2792" s="1323" t="s">
        <v>1202</v>
      </c>
      <c r="C2792" t="s">
        <v>444</v>
      </c>
      <c r="D2792" s="223">
        <v>491056.2</v>
      </c>
    </row>
    <row r="2793" spans="1:4">
      <c r="A2793" s="107">
        <v>1</v>
      </c>
      <c r="B2793" s="1324"/>
      <c r="C2793" t="s">
        <v>445</v>
      </c>
      <c r="D2793" s="223">
        <v>0</v>
      </c>
    </row>
    <row r="2794" spans="1:4">
      <c r="A2794" s="107">
        <v>1</v>
      </c>
      <c r="B2794" s="1324"/>
      <c r="C2794" t="s">
        <v>446</v>
      </c>
      <c r="D2794" s="223">
        <v>15025.3</v>
      </c>
    </row>
    <row r="2795" spans="1:4">
      <c r="A2795" s="107">
        <v>1</v>
      </c>
      <c r="B2795" s="1324"/>
      <c r="C2795" t="s">
        <v>1253</v>
      </c>
      <c r="D2795" s="223">
        <v>0</v>
      </c>
    </row>
    <row r="2796" spans="1:4">
      <c r="A2796" s="107">
        <v>1</v>
      </c>
      <c r="B2796" s="1325"/>
      <c r="C2796" t="s">
        <v>421</v>
      </c>
      <c r="D2796" s="223">
        <v>0</v>
      </c>
    </row>
    <row r="2797" spans="1:4" ht="12.75" customHeight="1">
      <c r="A2797" s="107">
        <v>1</v>
      </c>
      <c r="B2797" s="1323" t="s">
        <v>1204</v>
      </c>
      <c r="C2797" t="s">
        <v>444</v>
      </c>
      <c r="D2797" s="223">
        <v>1764372.6</v>
      </c>
    </row>
    <row r="2798" spans="1:4">
      <c r="A2798" s="107">
        <v>1</v>
      </c>
      <c r="B2798" s="1324"/>
      <c r="C2798" t="s">
        <v>445</v>
      </c>
      <c r="D2798" s="223">
        <v>440495</v>
      </c>
    </row>
    <row r="2799" spans="1:4">
      <c r="A2799" s="107">
        <v>1</v>
      </c>
      <c r="B2799" s="1324"/>
      <c r="C2799" t="s">
        <v>446</v>
      </c>
      <c r="D2799" s="223">
        <v>0</v>
      </c>
    </row>
    <row r="2800" spans="1:4">
      <c r="A2800" s="107">
        <v>1</v>
      </c>
      <c r="B2800" s="1324"/>
      <c r="C2800" t="s">
        <v>1253</v>
      </c>
      <c r="D2800" s="223">
        <v>0</v>
      </c>
    </row>
    <row r="2801" spans="1:4" ht="12.75" customHeight="1">
      <c r="A2801" s="107">
        <v>1</v>
      </c>
      <c r="B2801" s="1325"/>
      <c r="C2801" t="s">
        <v>421</v>
      </c>
      <c r="D2801" s="223">
        <v>32841</v>
      </c>
    </row>
    <row r="2802" spans="1:4" ht="12.75" customHeight="1">
      <c r="A2802" s="107">
        <v>1</v>
      </c>
      <c r="B2802" s="1323" t="s">
        <v>1205</v>
      </c>
      <c r="C2802" t="s">
        <v>444</v>
      </c>
      <c r="D2802" s="223">
        <v>324712.40000000002</v>
      </c>
    </row>
    <row r="2803" spans="1:4">
      <c r="A2803" s="107">
        <v>1</v>
      </c>
      <c r="B2803" s="1324"/>
      <c r="C2803" t="s">
        <v>445</v>
      </c>
      <c r="D2803" s="223">
        <v>0</v>
      </c>
    </row>
    <row r="2804" spans="1:4">
      <c r="A2804" s="107">
        <v>1</v>
      </c>
      <c r="B2804" s="1324"/>
      <c r="C2804" t="s">
        <v>446</v>
      </c>
      <c r="D2804" s="223">
        <v>43609.2</v>
      </c>
    </row>
    <row r="2805" spans="1:4">
      <c r="A2805" s="107">
        <v>1</v>
      </c>
      <c r="B2805" s="1324"/>
      <c r="C2805" t="s">
        <v>1253</v>
      </c>
      <c r="D2805" s="223">
        <v>0</v>
      </c>
    </row>
    <row r="2806" spans="1:4" ht="12.75" customHeight="1">
      <c r="A2806" s="107">
        <v>1</v>
      </c>
      <c r="B2806" s="1325"/>
      <c r="C2806" t="s">
        <v>421</v>
      </c>
      <c r="D2806" s="223">
        <v>0</v>
      </c>
    </row>
    <row r="2807" spans="1:4" ht="12.75" customHeight="1">
      <c r="A2807" s="107">
        <v>1</v>
      </c>
      <c r="B2807" s="1323" t="s">
        <v>1206</v>
      </c>
      <c r="C2807" t="s">
        <v>444</v>
      </c>
      <c r="D2807" s="223">
        <v>782028.5</v>
      </c>
    </row>
    <row r="2808" spans="1:4">
      <c r="A2808" s="107">
        <v>1</v>
      </c>
      <c r="B2808" s="1324"/>
      <c r="C2808" t="s">
        <v>445</v>
      </c>
      <c r="D2808" s="223">
        <v>0</v>
      </c>
    </row>
    <row r="2809" spans="1:4">
      <c r="A2809" s="107">
        <v>1</v>
      </c>
      <c r="B2809" s="1324"/>
      <c r="C2809" t="s">
        <v>446</v>
      </c>
      <c r="D2809" s="223">
        <v>105944.9</v>
      </c>
    </row>
    <row r="2810" spans="1:4">
      <c r="A2810" s="107">
        <v>1</v>
      </c>
      <c r="B2810" s="1324"/>
      <c r="C2810" t="s">
        <v>1253</v>
      </c>
      <c r="D2810" s="223">
        <v>0</v>
      </c>
    </row>
    <row r="2811" spans="1:4">
      <c r="A2811" s="107">
        <v>1</v>
      </c>
      <c r="B2811" s="1325"/>
      <c r="C2811" t="s">
        <v>421</v>
      </c>
      <c r="D2811" s="223">
        <v>0</v>
      </c>
    </row>
    <row r="2812" spans="1:4">
      <c r="A2812" s="107">
        <v>2</v>
      </c>
      <c r="B2812" s="1323" t="s">
        <v>1207</v>
      </c>
      <c r="C2812" t="s">
        <v>444</v>
      </c>
      <c r="D2812" s="223">
        <v>0</v>
      </c>
    </row>
    <row r="2813" spans="1:4">
      <c r="A2813" s="107">
        <v>2</v>
      </c>
      <c r="B2813" s="1324"/>
      <c r="C2813" t="s">
        <v>445</v>
      </c>
      <c r="D2813" s="223">
        <v>0</v>
      </c>
    </row>
    <row r="2814" spans="1:4" ht="12.75" customHeight="1">
      <c r="A2814" s="107">
        <v>2</v>
      </c>
      <c r="B2814" s="1324"/>
      <c r="C2814" t="s">
        <v>446</v>
      </c>
      <c r="D2814" s="223">
        <v>70607.899999999994</v>
      </c>
    </row>
    <row r="2815" spans="1:4">
      <c r="A2815" s="107">
        <v>2</v>
      </c>
      <c r="B2815" s="1324"/>
      <c r="C2815" t="s">
        <v>1253</v>
      </c>
      <c r="D2815" s="223">
        <v>0</v>
      </c>
    </row>
    <row r="2816" spans="1:4" ht="12.75" customHeight="1">
      <c r="A2816" s="107">
        <v>2</v>
      </c>
      <c r="B2816" s="1325"/>
      <c r="C2816" t="s">
        <v>421</v>
      </c>
      <c r="D2816" s="223">
        <v>0</v>
      </c>
    </row>
    <row r="2817" spans="1:4" ht="12.75" customHeight="1">
      <c r="A2817" s="107">
        <v>1</v>
      </c>
      <c r="B2817" s="1323" t="s">
        <v>1208</v>
      </c>
      <c r="C2817" t="s">
        <v>444</v>
      </c>
      <c r="D2817" s="223">
        <v>696591.5</v>
      </c>
    </row>
    <row r="2818" spans="1:4">
      <c r="A2818" s="107">
        <v>1</v>
      </c>
      <c r="B2818" s="1324"/>
      <c r="C2818" t="s">
        <v>445</v>
      </c>
      <c r="D2818" s="223">
        <v>0</v>
      </c>
    </row>
    <row r="2819" spans="1:4">
      <c r="A2819" s="107">
        <v>1</v>
      </c>
      <c r="B2819" s="1324"/>
      <c r="C2819" t="s">
        <v>446</v>
      </c>
      <c r="D2819" s="223">
        <v>53852.7</v>
      </c>
    </row>
    <row r="2820" spans="1:4">
      <c r="A2820" s="107">
        <v>1</v>
      </c>
      <c r="B2820" s="1324"/>
      <c r="C2820" t="s">
        <v>1253</v>
      </c>
      <c r="D2820" s="223">
        <v>0</v>
      </c>
    </row>
    <row r="2821" spans="1:4">
      <c r="A2821" s="107">
        <v>1</v>
      </c>
      <c r="B2821" s="1325"/>
      <c r="C2821" t="s">
        <v>421</v>
      </c>
      <c r="D2821" s="223">
        <v>0</v>
      </c>
    </row>
    <row r="2822" spans="1:4">
      <c r="A2822" s="107">
        <v>2</v>
      </c>
      <c r="B2822" s="1323" t="s">
        <v>1209</v>
      </c>
      <c r="C2822" t="s">
        <v>444</v>
      </c>
      <c r="D2822" s="223">
        <v>280826.90000000002</v>
      </c>
    </row>
    <row r="2823" spans="1:4">
      <c r="A2823" s="107">
        <v>2</v>
      </c>
      <c r="B2823" s="1324"/>
      <c r="C2823" t="s">
        <v>445</v>
      </c>
      <c r="D2823" s="223">
        <v>0</v>
      </c>
    </row>
    <row r="2824" spans="1:4">
      <c r="A2824" s="107">
        <v>2</v>
      </c>
      <c r="B2824" s="1324"/>
      <c r="C2824" t="s">
        <v>446</v>
      </c>
      <c r="D2824" s="223">
        <v>90382.2</v>
      </c>
    </row>
    <row r="2825" spans="1:4">
      <c r="A2825" s="107">
        <v>2</v>
      </c>
      <c r="B2825" s="1324"/>
      <c r="C2825" t="s">
        <v>1253</v>
      </c>
      <c r="D2825" s="223">
        <v>0</v>
      </c>
    </row>
    <row r="2826" spans="1:4">
      <c r="A2826" s="107">
        <v>2</v>
      </c>
      <c r="B2826" s="1325"/>
      <c r="C2826" t="s">
        <v>421</v>
      </c>
      <c r="D2826" s="223">
        <v>0</v>
      </c>
    </row>
    <row r="2827" spans="1:4">
      <c r="A2827" s="107">
        <v>7</v>
      </c>
      <c r="B2827" s="1323" t="s">
        <v>1210</v>
      </c>
      <c r="C2827" t="s">
        <v>444</v>
      </c>
      <c r="D2827" s="223">
        <v>0</v>
      </c>
    </row>
    <row r="2828" spans="1:4">
      <c r="A2828" s="107">
        <v>7</v>
      </c>
      <c r="B2828" s="1324"/>
      <c r="C2828" t="s">
        <v>445</v>
      </c>
      <c r="D2828" s="223">
        <v>0</v>
      </c>
    </row>
    <row r="2829" spans="1:4">
      <c r="A2829" s="107">
        <v>7</v>
      </c>
      <c r="B2829" s="1324"/>
      <c r="C2829" t="s">
        <v>446</v>
      </c>
      <c r="D2829" s="223">
        <v>13777.9</v>
      </c>
    </row>
    <row r="2830" spans="1:4">
      <c r="A2830" s="107">
        <v>7</v>
      </c>
      <c r="B2830" s="1324"/>
      <c r="C2830" t="s">
        <v>1253</v>
      </c>
      <c r="D2830" s="223">
        <v>0</v>
      </c>
    </row>
    <row r="2831" spans="1:4" ht="12.75" customHeight="1">
      <c r="A2831" s="107">
        <v>7</v>
      </c>
      <c r="B2831" s="1325"/>
      <c r="C2831" t="s">
        <v>421</v>
      </c>
      <c r="D2831" s="223">
        <v>0</v>
      </c>
    </row>
    <row r="2832" spans="1:4" ht="12.75" customHeight="1">
      <c r="A2832" s="107">
        <v>4</v>
      </c>
      <c r="B2832" s="1323" t="s">
        <v>1211</v>
      </c>
      <c r="C2832" t="s">
        <v>444</v>
      </c>
      <c r="D2832" s="223">
        <v>964321.7</v>
      </c>
    </row>
    <row r="2833" spans="1:4">
      <c r="A2833" s="107">
        <v>4</v>
      </c>
      <c r="B2833" s="1324"/>
      <c r="C2833" t="s">
        <v>445</v>
      </c>
      <c r="D2833" s="223">
        <v>0</v>
      </c>
    </row>
    <row r="2834" spans="1:4">
      <c r="A2834" s="107">
        <v>4</v>
      </c>
      <c r="B2834" s="1324"/>
      <c r="C2834" t="s">
        <v>446</v>
      </c>
      <c r="D2834" s="223">
        <v>0</v>
      </c>
    </row>
    <row r="2835" spans="1:4">
      <c r="A2835" s="107">
        <v>4</v>
      </c>
      <c r="B2835" s="1324"/>
      <c r="C2835" t="s">
        <v>1253</v>
      </c>
      <c r="D2835" s="223">
        <v>0</v>
      </c>
    </row>
    <row r="2836" spans="1:4" ht="12.75" customHeight="1">
      <c r="A2836" s="107">
        <v>4</v>
      </c>
      <c r="B2836" s="1325"/>
      <c r="C2836" t="s">
        <v>421</v>
      </c>
      <c r="D2836" s="223">
        <v>0</v>
      </c>
    </row>
    <row r="2837" spans="1:4" ht="12.75" customHeight="1">
      <c r="A2837" s="107">
        <v>7</v>
      </c>
      <c r="B2837" s="1323" t="s">
        <v>1212</v>
      </c>
      <c r="C2837" t="s">
        <v>444</v>
      </c>
      <c r="D2837" s="223">
        <v>264247.5</v>
      </c>
    </row>
    <row r="2838" spans="1:4">
      <c r="A2838" s="107">
        <v>7</v>
      </c>
      <c r="B2838" s="1324"/>
      <c r="C2838" t="s">
        <v>445</v>
      </c>
      <c r="D2838" s="223">
        <v>22804.9</v>
      </c>
    </row>
    <row r="2839" spans="1:4">
      <c r="A2839" s="107">
        <v>7</v>
      </c>
      <c r="B2839" s="1324"/>
      <c r="C2839" t="s">
        <v>446</v>
      </c>
      <c r="D2839" s="223">
        <v>81943.8</v>
      </c>
    </row>
    <row r="2840" spans="1:4">
      <c r="A2840" s="107">
        <v>7</v>
      </c>
      <c r="B2840" s="1324"/>
      <c r="C2840" t="s">
        <v>1253</v>
      </c>
      <c r="D2840" s="223">
        <v>0</v>
      </c>
    </row>
    <row r="2841" spans="1:4" ht="12.75" customHeight="1">
      <c r="A2841" s="107">
        <v>7</v>
      </c>
      <c r="B2841" s="1325"/>
      <c r="C2841" t="s">
        <v>421</v>
      </c>
      <c r="D2841" s="223">
        <v>0</v>
      </c>
    </row>
    <row r="2842" spans="1:4" ht="12.75" customHeight="1">
      <c r="A2842" s="107">
        <v>2</v>
      </c>
      <c r="B2842" s="1323" t="s">
        <v>1213</v>
      </c>
      <c r="C2842" t="s">
        <v>444</v>
      </c>
      <c r="D2842" s="223">
        <v>0</v>
      </c>
    </row>
    <row r="2843" spans="1:4">
      <c r="A2843" s="107">
        <v>2</v>
      </c>
      <c r="B2843" s="1324"/>
      <c r="C2843" t="s">
        <v>445</v>
      </c>
      <c r="D2843" s="223">
        <v>0</v>
      </c>
    </row>
    <row r="2844" spans="1:4">
      <c r="A2844" s="107">
        <v>2</v>
      </c>
      <c r="B2844" s="1324"/>
      <c r="C2844" t="s">
        <v>446</v>
      </c>
      <c r="D2844" s="223">
        <v>8862.7000000000007</v>
      </c>
    </row>
    <row r="2845" spans="1:4">
      <c r="A2845" s="107">
        <v>2</v>
      </c>
      <c r="B2845" s="1324"/>
      <c r="C2845" t="s">
        <v>1253</v>
      </c>
      <c r="D2845" s="223">
        <v>0</v>
      </c>
    </row>
    <row r="2846" spans="1:4" ht="12.75" customHeight="1">
      <c r="A2846" s="107">
        <v>2</v>
      </c>
      <c r="B2846" s="1325"/>
      <c r="C2846" t="s">
        <v>421</v>
      </c>
      <c r="D2846" s="223">
        <v>0</v>
      </c>
    </row>
    <row r="2847" spans="1:4" ht="12.75" customHeight="1">
      <c r="A2847" s="107">
        <v>1</v>
      </c>
      <c r="B2847" s="1323" t="s">
        <v>1214</v>
      </c>
      <c r="C2847" t="s">
        <v>444</v>
      </c>
      <c r="D2847" s="223">
        <v>209418.6</v>
      </c>
    </row>
    <row r="2848" spans="1:4">
      <c r="A2848" s="107">
        <v>1</v>
      </c>
      <c r="B2848" s="1324"/>
      <c r="C2848" t="s">
        <v>445</v>
      </c>
      <c r="D2848" s="223">
        <v>0</v>
      </c>
    </row>
    <row r="2849" spans="1:4">
      <c r="A2849" s="107">
        <v>1</v>
      </c>
      <c r="B2849" s="1324"/>
      <c r="C2849" t="s">
        <v>446</v>
      </c>
      <c r="D2849" s="223">
        <v>0</v>
      </c>
    </row>
    <row r="2850" spans="1:4">
      <c r="A2850" s="107">
        <v>1</v>
      </c>
      <c r="B2850" s="1324"/>
      <c r="C2850" t="s">
        <v>1253</v>
      </c>
      <c r="D2850" s="223">
        <v>0</v>
      </c>
    </row>
    <row r="2851" spans="1:4" ht="12.75" customHeight="1">
      <c r="A2851" s="107">
        <v>1</v>
      </c>
      <c r="B2851" s="1325"/>
      <c r="C2851" t="s">
        <v>421</v>
      </c>
      <c r="D2851" s="223">
        <v>0</v>
      </c>
    </row>
    <row r="2852" spans="1:4" ht="12.75" customHeight="1">
      <c r="A2852" s="107">
        <v>2</v>
      </c>
      <c r="B2852" s="1323" t="s">
        <v>1215</v>
      </c>
      <c r="C2852" t="s">
        <v>444</v>
      </c>
      <c r="D2852" s="223">
        <v>0</v>
      </c>
    </row>
    <row r="2853" spans="1:4">
      <c r="A2853" s="107">
        <v>2</v>
      </c>
      <c r="B2853" s="1324"/>
      <c r="C2853" t="s">
        <v>445</v>
      </c>
      <c r="D2853" s="223">
        <v>0</v>
      </c>
    </row>
    <row r="2854" spans="1:4">
      <c r="A2854" s="107">
        <v>2</v>
      </c>
      <c r="B2854" s="1324"/>
      <c r="C2854" t="s">
        <v>446</v>
      </c>
      <c r="D2854" s="223">
        <v>15739</v>
      </c>
    </row>
    <row r="2855" spans="1:4">
      <c r="A2855" s="107">
        <v>2</v>
      </c>
      <c r="B2855" s="1324"/>
      <c r="C2855" t="s">
        <v>1253</v>
      </c>
      <c r="D2855" s="223">
        <v>0</v>
      </c>
    </row>
    <row r="2856" spans="1:4">
      <c r="A2856" s="107">
        <v>2</v>
      </c>
      <c r="B2856" s="1325"/>
      <c r="C2856" t="s">
        <v>421</v>
      </c>
      <c r="D2856" s="223">
        <v>0</v>
      </c>
    </row>
    <row r="2857" spans="1:4">
      <c r="A2857" s="107">
        <v>2</v>
      </c>
      <c r="B2857" s="1323" t="s">
        <v>1216</v>
      </c>
      <c r="C2857" t="s">
        <v>444</v>
      </c>
      <c r="D2857" s="223">
        <v>0</v>
      </c>
    </row>
    <row r="2858" spans="1:4">
      <c r="A2858" s="107">
        <v>2</v>
      </c>
      <c r="B2858" s="1324"/>
      <c r="C2858" t="s">
        <v>445</v>
      </c>
      <c r="D2858" s="223">
        <v>0</v>
      </c>
    </row>
    <row r="2859" spans="1:4">
      <c r="A2859" s="107">
        <v>2</v>
      </c>
      <c r="B2859" s="1324"/>
      <c r="C2859" t="s">
        <v>446</v>
      </c>
      <c r="D2859" s="223">
        <v>9602.2999999999993</v>
      </c>
    </row>
    <row r="2860" spans="1:4">
      <c r="A2860" s="107">
        <v>2</v>
      </c>
      <c r="B2860" s="1324"/>
      <c r="C2860" t="s">
        <v>1253</v>
      </c>
      <c r="D2860" s="223">
        <v>0</v>
      </c>
    </row>
    <row r="2861" spans="1:4">
      <c r="A2861" s="107">
        <v>2</v>
      </c>
      <c r="B2861" s="1325"/>
      <c r="C2861" t="s">
        <v>421</v>
      </c>
      <c r="D2861" s="223">
        <v>0</v>
      </c>
    </row>
    <row r="2862" spans="1:4">
      <c r="A2862" s="107">
        <v>2</v>
      </c>
      <c r="B2862" s="1323" t="s">
        <v>1217</v>
      </c>
      <c r="C2862" t="s">
        <v>444</v>
      </c>
      <c r="D2862" s="223">
        <v>0</v>
      </c>
    </row>
    <row r="2863" spans="1:4">
      <c r="A2863" s="107">
        <v>2</v>
      </c>
      <c r="B2863" s="1324"/>
      <c r="C2863" t="s">
        <v>445</v>
      </c>
      <c r="D2863" s="223">
        <v>0</v>
      </c>
    </row>
    <row r="2864" spans="1:4">
      <c r="A2864" s="107">
        <v>2</v>
      </c>
      <c r="B2864" s="1324"/>
      <c r="C2864" t="s">
        <v>446</v>
      </c>
      <c r="D2864" s="223">
        <v>23767.599999999999</v>
      </c>
    </row>
    <row r="2865" spans="1:4">
      <c r="A2865" s="107">
        <v>2</v>
      </c>
      <c r="B2865" s="1324"/>
      <c r="C2865" t="s">
        <v>1253</v>
      </c>
      <c r="D2865" s="223">
        <v>0</v>
      </c>
    </row>
    <row r="2866" spans="1:4">
      <c r="A2866" s="107">
        <v>2</v>
      </c>
      <c r="B2866" s="1325"/>
      <c r="C2866" t="s">
        <v>421</v>
      </c>
      <c r="D2866" s="223">
        <v>0</v>
      </c>
    </row>
    <row r="2867" spans="1:4">
      <c r="A2867" s="107">
        <v>2</v>
      </c>
      <c r="B2867" s="1323" t="s">
        <v>1218</v>
      </c>
      <c r="C2867" t="s">
        <v>444</v>
      </c>
      <c r="D2867" s="223">
        <v>0</v>
      </c>
    </row>
    <row r="2868" spans="1:4">
      <c r="A2868" s="107">
        <v>2</v>
      </c>
      <c r="B2868" s="1324"/>
      <c r="C2868" t="s">
        <v>445</v>
      </c>
      <c r="D2868" s="223">
        <v>0</v>
      </c>
    </row>
    <row r="2869" spans="1:4">
      <c r="A2869" s="107">
        <v>2</v>
      </c>
      <c r="B2869" s="1324"/>
      <c r="C2869" t="s">
        <v>446</v>
      </c>
      <c r="D2869" s="223">
        <v>90881.8</v>
      </c>
    </row>
    <row r="2870" spans="1:4">
      <c r="A2870" s="107">
        <v>2</v>
      </c>
      <c r="B2870" s="1324"/>
      <c r="C2870" t="s">
        <v>1253</v>
      </c>
      <c r="D2870" s="223">
        <v>0</v>
      </c>
    </row>
    <row r="2871" spans="1:4" ht="12.75" customHeight="1">
      <c r="A2871" s="107">
        <v>2</v>
      </c>
      <c r="B2871" s="1325"/>
      <c r="C2871" t="s">
        <v>421</v>
      </c>
      <c r="D2871" s="223">
        <v>0</v>
      </c>
    </row>
    <row r="2872" spans="1:4" ht="12.75" customHeight="1">
      <c r="A2872" s="107">
        <v>2</v>
      </c>
      <c r="B2872" s="1323" t="s">
        <v>1219</v>
      </c>
      <c r="C2872" t="s">
        <v>444</v>
      </c>
      <c r="D2872" s="223">
        <v>0</v>
      </c>
    </row>
    <row r="2873" spans="1:4">
      <c r="A2873" s="107">
        <v>2</v>
      </c>
      <c r="B2873" s="1324"/>
      <c r="C2873" t="s">
        <v>445</v>
      </c>
      <c r="D2873" s="223">
        <v>0</v>
      </c>
    </row>
    <row r="2874" spans="1:4">
      <c r="A2874" s="107">
        <v>2</v>
      </c>
      <c r="B2874" s="1324"/>
      <c r="C2874" t="s">
        <v>446</v>
      </c>
      <c r="D2874" s="223">
        <v>10258.9</v>
      </c>
    </row>
    <row r="2875" spans="1:4">
      <c r="A2875" s="107">
        <v>2</v>
      </c>
      <c r="B2875" s="1324"/>
      <c r="C2875" t="s">
        <v>1253</v>
      </c>
      <c r="D2875" s="223">
        <v>0</v>
      </c>
    </row>
    <row r="2876" spans="1:4" ht="13.5" customHeight="1">
      <c r="A2876" s="107">
        <v>2</v>
      </c>
      <c r="B2876" s="1325"/>
      <c r="C2876" t="s">
        <v>421</v>
      </c>
      <c r="D2876" s="223">
        <v>0</v>
      </c>
    </row>
    <row r="2877" spans="1:4" ht="12.75" customHeight="1">
      <c r="A2877" s="107">
        <v>2</v>
      </c>
      <c r="B2877" s="1323" t="s">
        <v>1220</v>
      </c>
      <c r="C2877" t="s">
        <v>444</v>
      </c>
      <c r="D2877" s="223">
        <v>0</v>
      </c>
    </row>
    <row r="2878" spans="1:4">
      <c r="A2878" s="107">
        <v>2</v>
      </c>
      <c r="B2878" s="1324"/>
      <c r="C2878" t="s">
        <v>445</v>
      </c>
      <c r="D2878" s="223">
        <v>0</v>
      </c>
    </row>
    <row r="2879" spans="1:4">
      <c r="A2879" s="107">
        <v>2</v>
      </c>
      <c r="B2879" s="1324"/>
      <c r="C2879" t="s">
        <v>446</v>
      </c>
      <c r="D2879" s="223">
        <v>39905</v>
      </c>
    </row>
    <row r="2880" spans="1:4">
      <c r="A2880" s="107">
        <v>2</v>
      </c>
      <c r="B2880" s="1324"/>
      <c r="C2880" t="s">
        <v>1253</v>
      </c>
      <c r="D2880" s="223">
        <v>0</v>
      </c>
    </row>
    <row r="2881" spans="1:4" ht="12.75" customHeight="1">
      <c r="A2881" s="107">
        <v>2</v>
      </c>
      <c r="B2881" s="1325"/>
      <c r="C2881" t="s">
        <v>421</v>
      </c>
      <c r="D2881" s="223">
        <v>0</v>
      </c>
    </row>
    <row r="2882" spans="1:4" ht="24" customHeight="1">
      <c r="A2882" s="107">
        <v>2</v>
      </c>
      <c r="B2882" s="1323" t="s">
        <v>1221</v>
      </c>
      <c r="C2882" t="s">
        <v>444</v>
      </c>
      <c r="D2882" s="223">
        <v>91506.6</v>
      </c>
    </row>
    <row r="2883" spans="1:4" ht="24" customHeight="1">
      <c r="A2883" s="107">
        <v>2</v>
      </c>
      <c r="B2883" s="1324"/>
      <c r="C2883" t="s">
        <v>445</v>
      </c>
      <c r="D2883" s="223">
        <v>0</v>
      </c>
    </row>
    <row r="2884" spans="1:4">
      <c r="A2884" s="107">
        <v>2</v>
      </c>
      <c r="B2884" s="1324"/>
      <c r="C2884" t="s">
        <v>446</v>
      </c>
      <c r="D2884" s="223">
        <v>24250</v>
      </c>
    </row>
    <row r="2885" spans="1:4">
      <c r="A2885" s="107">
        <v>2</v>
      </c>
      <c r="B2885" s="1324"/>
      <c r="C2885" t="s">
        <v>1253</v>
      </c>
      <c r="D2885" s="223">
        <v>0</v>
      </c>
    </row>
    <row r="2886" spans="1:4">
      <c r="A2886" s="107">
        <v>2</v>
      </c>
      <c r="B2886" s="1325"/>
      <c r="C2886" t="s">
        <v>421</v>
      </c>
      <c r="D2886" s="223">
        <v>0</v>
      </c>
    </row>
    <row r="2887" spans="1:4">
      <c r="A2887" s="107">
        <v>2</v>
      </c>
      <c r="B2887" s="1323" t="s">
        <v>1222</v>
      </c>
      <c r="C2887" t="s">
        <v>444</v>
      </c>
      <c r="D2887" s="223">
        <v>0</v>
      </c>
    </row>
    <row r="2888" spans="1:4">
      <c r="A2888" s="107">
        <v>2</v>
      </c>
      <c r="B2888" s="1324"/>
      <c r="C2888" t="s">
        <v>445</v>
      </c>
      <c r="D2888" s="223">
        <v>0</v>
      </c>
    </row>
    <row r="2889" spans="1:4">
      <c r="A2889" s="107">
        <v>2</v>
      </c>
      <c r="B2889" s="1324"/>
      <c r="C2889" t="s">
        <v>446</v>
      </c>
      <c r="D2889" s="223">
        <v>5080.8</v>
      </c>
    </row>
    <row r="2890" spans="1:4">
      <c r="A2890" s="107">
        <v>2</v>
      </c>
      <c r="B2890" s="1324"/>
      <c r="C2890" t="s">
        <v>1253</v>
      </c>
      <c r="D2890" s="223">
        <v>0</v>
      </c>
    </row>
    <row r="2891" spans="1:4" ht="12.75" customHeight="1">
      <c r="A2891" s="107">
        <v>2</v>
      </c>
      <c r="B2891" s="1325"/>
      <c r="C2891" t="s">
        <v>421</v>
      </c>
      <c r="D2891" s="223">
        <v>0</v>
      </c>
    </row>
    <row r="2892" spans="1:4" ht="12.75" customHeight="1">
      <c r="A2892" s="646">
        <v>1</v>
      </c>
      <c r="B2892" s="1323" t="s">
        <v>2164</v>
      </c>
      <c r="C2892" t="s">
        <v>444</v>
      </c>
      <c r="D2892" s="223">
        <v>1030906.8</v>
      </c>
    </row>
    <row r="2893" spans="1:4">
      <c r="A2893" s="646">
        <v>1</v>
      </c>
      <c r="B2893" s="1324"/>
      <c r="C2893" t="s">
        <v>445</v>
      </c>
      <c r="D2893" s="223">
        <v>0</v>
      </c>
    </row>
    <row r="2894" spans="1:4">
      <c r="A2894" s="646">
        <v>1</v>
      </c>
      <c r="B2894" s="1324"/>
      <c r="C2894" t="s">
        <v>446</v>
      </c>
      <c r="D2894" s="223">
        <v>56364.1</v>
      </c>
    </row>
    <row r="2895" spans="1:4">
      <c r="A2895" s="646">
        <v>1</v>
      </c>
      <c r="B2895" s="1324"/>
      <c r="C2895" t="s">
        <v>1253</v>
      </c>
      <c r="D2895" s="223">
        <v>0</v>
      </c>
    </row>
    <row r="2896" spans="1:4">
      <c r="A2896" s="646">
        <v>1</v>
      </c>
      <c r="B2896" s="1325"/>
      <c r="C2896" t="s">
        <v>421</v>
      </c>
      <c r="D2896" s="223">
        <v>0</v>
      </c>
    </row>
    <row r="2897" spans="1:4">
      <c r="A2897" s="111">
        <v>2</v>
      </c>
      <c r="B2897" s="1323" t="s">
        <v>1224</v>
      </c>
      <c r="C2897" t="s">
        <v>444</v>
      </c>
      <c r="D2897" s="223">
        <v>0</v>
      </c>
    </row>
    <row r="2898" spans="1:4">
      <c r="A2898" s="111">
        <v>2</v>
      </c>
      <c r="B2898" s="1324"/>
      <c r="C2898" t="s">
        <v>445</v>
      </c>
      <c r="D2898" s="223">
        <v>0</v>
      </c>
    </row>
    <row r="2899" spans="1:4">
      <c r="A2899" s="111">
        <v>2</v>
      </c>
      <c r="B2899" s="1324"/>
      <c r="C2899" t="s">
        <v>446</v>
      </c>
      <c r="D2899" s="223">
        <v>16967.5</v>
      </c>
    </row>
    <row r="2900" spans="1:4">
      <c r="A2900" s="111">
        <v>2</v>
      </c>
      <c r="B2900" s="1324"/>
      <c r="C2900" t="s">
        <v>1253</v>
      </c>
      <c r="D2900" s="223">
        <v>0</v>
      </c>
    </row>
    <row r="2901" spans="1:4">
      <c r="A2901" s="111">
        <v>2</v>
      </c>
      <c r="B2901" s="1325"/>
      <c r="C2901" t="s">
        <v>421</v>
      </c>
      <c r="D2901" s="223">
        <v>0</v>
      </c>
    </row>
    <row r="2902" spans="1:4">
      <c r="A2902" s="107">
        <v>2</v>
      </c>
      <c r="B2902" s="1323" t="s">
        <v>1225</v>
      </c>
      <c r="C2902" t="s">
        <v>444</v>
      </c>
      <c r="D2902" s="223">
        <v>0</v>
      </c>
    </row>
    <row r="2903" spans="1:4">
      <c r="A2903" s="107">
        <v>2</v>
      </c>
      <c r="B2903" s="1324"/>
      <c r="C2903" t="s">
        <v>445</v>
      </c>
      <c r="D2903" s="223">
        <v>0</v>
      </c>
    </row>
    <row r="2904" spans="1:4">
      <c r="A2904" s="107">
        <v>2</v>
      </c>
      <c r="B2904" s="1324"/>
      <c r="C2904" t="s">
        <v>446</v>
      </c>
      <c r="D2904" s="223">
        <v>44968.1</v>
      </c>
    </row>
    <row r="2905" spans="1:4">
      <c r="A2905" s="107">
        <v>2</v>
      </c>
      <c r="B2905" s="1324"/>
      <c r="C2905" t="s">
        <v>1253</v>
      </c>
      <c r="D2905" s="223">
        <v>0</v>
      </c>
    </row>
    <row r="2906" spans="1:4">
      <c r="A2906" s="107">
        <v>2</v>
      </c>
      <c r="B2906" s="1325"/>
      <c r="C2906" t="s">
        <v>421</v>
      </c>
      <c r="D2906" s="223">
        <v>0</v>
      </c>
    </row>
    <row r="2907" spans="1:4">
      <c r="A2907" s="107">
        <v>3</v>
      </c>
      <c r="B2907" s="1323" t="s">
        <v>1226</v>
      </c>
      <c r="C2907" t="s">
        <v>444</v>
      </c>
      <c r="D2907" s="223">
        <v>275179.5</v>
      </c>
    </row>
    <row r="2908" spans="1:4">
      <c r="A2908" s="107">
        <v>3</v>
      </c>
      <c r="B2908" s="1324"/>
      <c r="C2908" t="s">
        <v>445</v>
      </c>
      <c r="D2908" s="223">
        <v>0</v>
      </c>
    </row>
    <row r="2909" spans="1:4">
      <c r="A2909" s="107">
        <v>3</v>
      </c>
      <c r="B2909" s="1324"/>
      <c r="C2909" t="s">
        <v>446</v>
      </c>
      <c r="D2909" s="223">
        <v>51491.8</v>
      </c>
    </row>
    <row r="2910" spans="1:4">
      <c r="A2910" s="107">
        <v>3</v>
      </c>
      <c r="B2910" s="1324"/>
      <c r="C2910" t="s">
        <v>1253</v>
      </c>
      <c r="D2910" s="223">
        <v>0</v>
      </c>
    </row>
    <row r="2911" spans="1:4">
      <c r="A2911" s="107">
        <v>3</v>
      </c>
      <c r="B2911" s="1325"/>
      <c r="C2911" t="s">
        <v>421</v>
      </c>
      <c r="D2911" s="223">
        <v>0</v>
      </c>
    </row>
    <row r="2912" spans="1:4">
      <c r="A2912" s="107">
        <v>4</v>
      </c>
      <c r="B2912" s="1323" t="s">
        <v>1227</v>
      </c>
      <c r="C2912" t="s">
        <v>444</v>
      </c>
      <c r="D2912" s="223">
        <v>959465.2</v>
      </c>
    </row>
    <row r="2913" spans="1:4">
      <c r="A2913" s="107">
        <v>4</v>
      </c>
      <c r="B2913" s="1324"/>
      <c r="C2913" t="s">
        <v>445</v>
      </c>
      <c r="D2913" s="223">
        <v>0</v>
      </c>
    </row>
    <row r="2914" spans="1:4">
      <c r="A2914" s="107">
        <v>4</v>
      </c>
      <c r="B2914" s="1324"/>
      <c r="C2914" t="s">
        <v>446</v>
      </c>
      <c r="D2914" s="223">
        <v>0</v>
      </c>
    </row>
    <row r="2915" spans="1:4">
      <c r="A2915" s="107">
        <v>4</v>
      </c>
      <c r="B2915" s="1324"/>
      <c r="C2915" t="s">
        <v>1253</v>
      </c>
      <c r="D2915" s="223">
        <v>0</v>
      </c>
    </row>
    <row r="2916" spans="1:4" ht="12.75" customHeight="1">
      <c r="A2916" s="107">
        <v>4</v>
      </c>
      <c r="B2916" s="1324"/>
      <c r="C2916" t="s">
        <v>421</v>
      </c>
      <c r="D2916" s="223">
        <v>0</v>
      </c>
    </row>
    <row r="2917" spans="1:4" ht="12.75" customHeight="1">
      <c r="A2917" s="107">
        <v>2</v>
      </c>
      <c r="B2917" s="1323" t="s">
        <v>1228</v>
      </c>
      <c r="C2917" t="s">
        <v>444</v>
      </c>
      <c r="D2917" s="223">
        <v>43855</v>
      </c>
    </row>
    <row r="2918" spans="1:4">
      <c r="A2918" s="107">
        <v>2</v>
      </c>
      <c r="B2918" s="1324"/>
      <c r="C2918" t="s">
        <v>445</v>
      </c>
      <c r="D2918" s="223">
        <v>43615</v>
      </c>
    </row>
    <row r="2919" spans="1:4">
      <c r="A2919" s="107">
        <v>2</v>
      </c>
      <c r="B2919" s="1324"/>
      <c r="C2919" t="s">
        <v>446</v>
      </c>
      <c r="D2919" s="223">
        <v>9439.2000000000007</v>
      </c>
    </row>
    <row r="2920" spans="1:4">
      <c r="A2920" s="107">
        <v>2</v>
      </c>
      <c r="B2920" s="1324"/>
      <c r="C2920" t="s">
        <v>1253</v>
      </c>
      <c r="D2920" s="223">
        <v>0</v>
      </c>
    </row>
    <row r="2921" spans="1:4">
      <c r="A2921" s="107">
        <v>2</v>
      </c>
      <c r="B2921" s="1324"/>
      <c r="C2921" t="s">
        <v>421</v>
      </c>
      <c r="D2921" s="223">
        <v>0</v>
      </c>
    </row>
    <row r="2922" spans="1:4">
      <c r="A2922" s="107">
        <v>4</v>
      </c>
      <c r="B2922" s="1323" t="s">
        <v>1229</v>
      </c>
      <c r="C2922" t="s">
        <v>444</v>
      </c>
      <c r="D2922" s="223">
        <v>950514.6</v>
      </c>
    </row>
    <row r="2923" spans="1:4">
      <c r="A2923" s="107">
        <v>4</v>
      </c>
      <c r="B2923" s="1324"/>
      <c r="C2923" t="s">
        <v>445</v>
      </c>
      <c r="D2923" s="223">
        <v>0</v>
      </c>
    </row>
    <row r="2924" spans="1:4">
      <c r="A2924" s="107">
        <v>4</v>
      </c>
      <c r="B2924" s="1324"/>
      <c r="C2924" t="s">
        <v>446</v>
      </c>
      <c r="D2924" s="223">
        <v>0</v>
      </c>
    </row>
    <row r="2925" spans="1:4">
      <c r="A2925" s="107">
        <v>4</v>
      </c>
      <c r="B2925" s="1324"/>
      <c r="C2925" t="s">
        <v>1253</v>
      </c>
      <c r="D2925" s="223">
        <v>0</v>
      </c>
    </row>
    <row r="2926" spans="1:4">
      <c r="A2926" s="107">
        <v>4</v>
      </c>
      <c r="B2926" s="1325"/>
      <c r="C2926" t="s">
        <v>421</v>
      </c>
      <c r="D2926" s="223">
        <v>0</v>
      </c>
    </row>
    <row r="2927" spans="1:4">
      <c r="A2927" s="107">
        <v>2</v>
      </c>
      <c r="B2927" s="1323" t="s">
        <v>1230</v>
      </c>
      <c r="C2927" t="s">
        <v>444</v>
      </c>
      <c r="D2927" s="223">
        <v>421567.2</v>
      </c>
    </row>
    <row r="2928" spans="1:4">
      <c r="A2928" s="107">
        <v>2</v>
      </c>
      <c r="B2928" s="1324"/>
      <c r="C2928" t="s">
        <v>445</v>
      </c>
      <c r="D2928" s="223">
        <v>0</v>
      </c>
    </row>
    <row r="2929" spans="1:4">
      <c r="A2929" s="107">
        <v>2</v>
      </c>
      <c r="B2929" s="1324"/>
      <c r="C2929" t="s">
        <v>446</v>
      </c>
      <c r="D2929" s="223">
        <v>104517.6</v>
      </c>
    </row>
    <row r="2930" spans="1:4">
      <c r="A2930" s="107">
        <v>2</v>
      </c>
      <c r="B2930" s="1324"/>
      <c r="C2930" t="s">
        <v>1253</v>
      </c>
      <c r="D2930" s="223">
        <v>0</v>
      </c>
    </row>
    <row r="2931" spans="1:4" ht="12.75" customHeight="1">
      <c r="A2931" s="107">
        <v>2</v>
      </c>
      <c r="B2931" s="1325"/>
      <c r="C2931" t="s">
        <v>421</v>
      </c>
      <c r="D2931" s="223">
        <v>0</v>
      </c>
    </row>
    <row r="2932" spans="1:4" ht="12.75" customHeight="1">
      <c r="A2932" s="107">
        <v>2</v>
      </c>
      <c r="B2932" s="1323" t="s">
        <v>2165</v>
      </c>
      <c r="C2932" t="s">
        <v>444</v>
      </c>
      <c r="D2932" s="223">
        <v>0</v>
      </c>
    </row>
    <row r="2933" spans="1:4" ht="12.75" customHeight="1">
      <c r="A2933" s="107">
        <v>2</v>
      </c>
      <c r="B2933" s="1324"/>
      <c r="C2933" t="s">
        <v>445</v>
      </c>
      <c r="D2933" s="223">
        <v>0</v>
      </c>
    </row>
    <row r="2934" spans="1:4" ht="12.75" customHeight="1">
      <c r="A2934" s="107">
        <v>2</v>
      </c>
      <c r="B2934" s="1324"/>
      <c r="C2934" t="s">
        <v>446</v>
      </c>
      <c r="D2934" s="223">
        <v>16662.8</v>
      </c>
    </row>
    <row r="2935" spans="1:4" ht="12.75" customHeight="1">
      <c r="A2935" s="107">
        <v>2</v>
      </c>
      <c r="B2935" s="1324"/>
      <c r="C2935" t="s">
        <v>1253</v>
      </c>
      <c r="D2935" s="223">
        <v>0</v>
      </c>
    </row>
    <row r="2936" spans="1:4" ht="12.75" customHeight="1">
      <c r="A2936" s="107">
        <v>2</v>
      </c>
      <c r="B2936" s="1325"/>
      <c r="C2936" t="s">
        <v>421</v>
      </c>
      <c r="D2936" s="223">
        <v>0</v>
      </c>
    </row>
    <row r="2937" spans="1:4" ht="12.75" customHeight="1">
      <c r="A2937" s="107">
        <v>2</v>
      </c>
      <c r="B2937" s="1323" t="s">
        <v>1231</v>
      </c>
      <c r="C2937" t="s">
        <v>444</v>
      </c>
      <c r="D2937" s="223">
        <v>0</v>
      </c>
    </row>
    <row r="2938" spans="1:4">
      <c r="A2938" s="107">
        <v>2</v>
      </c>
      <c r="B2938" s="1324"/>
      <c r="C2938" t="s">
        <v>445</v>
      </c>
      <c r="D2938" s="223">
        <v>0</v>
      </c>
    </row>
    <row r="2939" spans="1:4">
      <c r="A2939" s="107">
        <v>2</v>
      </c>
      <c r="B2939" s="1324"/>
      <c r="C2939" t="s">
        <v>446</v>
      </c>
      <c r="D2939" s="223">
        <v>49687.9</v>
      </c>
    </row>
    <row r="2940" spans="1:4">
      <c r="A2940" s="107">
        <v>2</v>
      </c>
      <c r="B2940" s="1324"/>
      <c r="C2940" t="s">
        <v>1253</v>
      </c>
      <c r="D2940" s="223">
        <v>0</v>
      </c>
    </row>
    <row r="2941" spans="1:4">
      <c r="A2941" s="107">
        <v>2</v>
      </c>
      <c r="B2941" s="1325"/>
      <c r="C2941" t="s">
        <v>421</v>
      </c>
      <c r="D2941" s="223">
        <v>0</v>
      </c>
    </row>
    <row r="2942" spans="1:4">
      <c r="A2942" s="107">
        <v>4</v>
      </c>
      <c r="B2942" s="1323" t="s">
        <v>1232</v>
      </c>
      <c r="C2942" t="s">
        <v>444</v>
      </c>
      <c r="D2942" s="223">
        <v>699664.8</v>
      </c>
    </row>
    <row r="2943" spans="1:4">
      <c r="A2943" s="107">
        <v>4</v>
      </c>
      <c r="B2943" s="1324"/>
      <c r="C2943" t="s">
        <v>445</v>
      </c>
      <c r="D2943" s="223">
        <v>0</v>
      </c>
    </row>
    <row r="2944" spans="1:4">
      <c r="A2944" s="107">
        <v>4</v>
      </c>
      <c r="B2944" s="1324"/>
      <c r="C2944" t="s">
        <v>446</v>
      </c>
      <c r="D2944" s="223">
        <v>0</v>
      </c>
    </row>
    <row r="2945" spans="1:4">
      <c r="A2945" s="107">
        <v>4</v>
      </c>
      <c r="B2945" s="1324"/>
      <c r="C2945" t="s">
        <v>1253</v>
      </c>
      <c r="D2945" s="223">
        <v>0</v>
      </c>
    </row>
    <row r="2946" spans="1:4">
      <c r="A2946" s="107">
        <v>4</v>
      </c>
      <c r="B2946" s="1325"/>
      <c r="C2946" t="s">
        <v>421</v>
      </c>
      <c r="D2946" s="223">
        <v>0</v>
      </c>
    </row>
    <row r="2947" spans="1:4">
      <c r="A2947" s="107">
        <v>2</v>
      </c>
      <c r="B2947" s="1323" t="s">
        <v>1233</v>
      </c>
      <c r="C2947" t="s">
        <v>444</v>
      </c>
      <c r="D2947" s="223">
        <v>0</v>
      </c>
    </row>
    <row r="2948" spans="1:4">
      <c r="A2948" s="107">
        <v>2</v>
      </c>
      <c r="B2948" s="1324"/>
      <c r="C2948" t="s">
        <v>445</v>
      </c>
      <c r="D2948" s="223">
        <v>0</v>
      </c>
    </row>
    <row r="2949" spans="1:4">
      <c r="A2949" s="107">
        <v>2</v>
      </c>
      <c r="B2949" s="1324"/>
      <c r="C2949" t="s">
        <v>446</v>
      </c>
      <c r="D2949" s="223">
        <v>20086.8</v>
      </c>
    </row>
    <row r="2950" spans="1:4">
      <c r="A2950" s="107">
        <v>2</v>
      </c>
      <c r="B2950" s="1324"/>
      <c r="C2950" t="s">
        <v>1253</v>
      </c>
      <c r="D2950" s="223">
        <v>0</v>
      </c>
    </row>
    <row r="2951" spans="1:4">
      <c r="A2951" s="107">
        <v>2</v>
      </c>
      <c r="B2951" s="1325"/>
      <c r="C2951" t="s">
        <v>421</v>
      </c>
      <c r="D2951" s="223">
        <v>0</v>
      </c>
    </row>
    <row r="2952" spans="1:4">
      <c r="A2952" s="107">
        <v>18</v>
      </c>
      <c r="B2952" s="1323" t="s">
        <v>1234</v>
      </c>
      <c r="C2952" t="s">
        <v>444</v>
      </c>
      <c r="D2952" s="223">
        <v>250151.6</v>
      </c>
    </row>
    <row r="2953" spans="1:4">
      <c r="A2953" s="107">
        <v>18</v>
      </c>
      <c r="B2953" s="1324"/>
      <c r="C2953" t="s">
        <v>445</v>
      </c>
      <c r="D2953" s="223">
        <v>0</v>
      </c>
    </row>
    <row r="2954" spans="1:4">
      <c r="A2954" s="107">
        <v>18</v>
      </c>
      <c r="B2954" s="1324"/>
      <c r="C2954" t="s">
        <v>446</v>
      </c>
      <c r="D2954" s="223">
        <v>62027</v>
      </c>
    </row>
    <row r="2955" spans="1:4">
      <c r="A2955" s="107">
        <v>18</v>
      </c>
      <c r="B2955" s="1324"/>
      <c r="C2955" t="s">
        <v>1253</v>
      </c>
      <c r="D2955" s="223">
        <v>0</v>
      </c>
    </row>
    <row r="2956" spans="1:4">
      <c r="A2956" s="107">
        <v>18</v>
      </c>
      <c r="B2956" s="1325"/>
      <c r="C2956" t="s">
        <v>421</v>
      </c>
      <c r="D2956" s="223">
        <v>0</v>
      </c>
    </row>
    <row r="2957" spans="1:4">
      <c r="A2957" s="107">
        <v>2</v>
      </c>
      <c r="B2957" s="1323" t="s">
        <v>1235</v>
      </c>
      <c r="C2957" t="s">
        <v>444</v>
      </c>
      <c r="D2957" s="223">
        <v>55110.2</v>
      </c>
    </row>
    <row r="2958" spans="1:4">
      <c r="A2958" s="107">
        <v>2</v>
      </c>
      <c r="B2958" s="1324"/>
      <c r="C2958" t="s">
        <v>445</v>
      </c>
      <c r="D2958" s="223">
        <v>269078.2</v>
      </c>
    </row>
    <row r="2959" spans="1:4">
      <c r="A2959" s="107">
        <v>2</v>
      </c>
      <c r="B2959" s="1324"/>
      <c r="C2959" t="s">
        <v>446</v>
      </c>
      <c r="D2959" s="223">
        <v>3897</v>
      </c>
    </row>
    <row r="2960" spans="1:4">
      <c r="A2960" s="107">
        <v>2</v>
      </c>
      <c r="B2960" s="1324"/>
      <c r="C2960" t="s">
        <v>1253</v>
      </c>
      <c r="D2960" s="223">
        <v>0</v>
      </c>
    </row>
    <row r="2961" spans="1:4">
      <c r="A2961" s="107">
        <v>2</v>
      </c>
      <c r="B2961" s="1324"/>
      <c r="C2961" t="s">
        <v>421</v>
      </c>
      <c r="D2961" s="223">
        <v>0</v>
      </c>
    </row>
    <row r="2962" spans="1:4">
      <c r="A2962" s="107">
        <v>2</v>
      </c>
      <c r="B2962" s="1323" t="s">
        <v>1236</v>
      </c>
      <c r="C2962" t="s">
        <v>444</v>
      </c>
      <c r="D2962" s="223">
        <v>0</v>
      </c>
    </row>
    <row r="2963" spans="1:4">
      <c r="A2963" s="107">
        <v>2</v>
      </c>
      <c r="B2963" s="1324"/>
      <c r="C2963" t="s">
        <v>445</v>
      </c>
      <c r="D2963" s="223">
        <v>0</v>
      </c>
    </row>
    <row r="2964" spans="1:4">
      <c r="A2964" s="107">
        <v>2</v>
      </c>
      <c r="B2964" s="1324"/>
      <c r="C2964" t="s">
        <v>446</v>
      </c>
      <c r="D2964" s="223">
        <v>13317.1</v>
      </c>
    </row>
    <row r="2965" spans="1:4">
      <c r="A2965" s="107">
        <v>2</v>
      </c>
      <c r="B2965" s="1324"/>
      <c r="C2965" t="s">
        <v>1253</v>
      </c>
      <c r="D2965" s="223">
        <v>0</v>
      </c>
    </row>
    <row r="2966" spans="1:4">
      <c r="A2966" s="107">
        <v>2</v>
      </c>
      <c r="B2966" s="1325"/>
      <c r="C2966" t="s">
        <v>421</v>
      </c>
      <c r="D2966" s="223">
        <v>0</v>
      </c>
    </row>
    <row r="2967" spans="1:4">
      <c r="A2967" s="107">
        <v>1</v>
      </c>
      <c r="B2967" s="1323" t="s">
        <v>1237</v>
      </c>
      <c r="C2967" t="s">
        <v>444</v>
      </c>
      <c r="D2967" s="223">
        <v>652743</v>
      </c>
    </row>
    <row r="2968" spans="1:4">
      <c r="A2968" s="107">
        <v>1</v>
      </c>
      <c r="B2968" s="1324"/>
      <c r="C2968" t="s">
        <v>445</v>
      </c>
      <c r="D2968" s="223">
        <v>0</v>
      </c>
    </row>
    <row r="2969" spans="1:4">
      <c r="A2969" s="107">
        <v>1</v>
      </c>
      <c r="B2969" s="1324"/>
      <c r="C2969" t="s">
        <v>446</v>
      </c>
      <c r="D2969" s="223">
        <v>20195.900000000001</v>
      </c>
    </row>
    <row r="2970" spans="1:4">
      <c r="A2970" s="107">
        <v>1</v>
      </c>
      <c r="B2970" s="1324"/>
      <c r="C2970" t="s">
        <v>1253</v>
      </c>
      <c r="D2970" s="223">
        <v>0</v>
      </c>
    </row>
    <row r="2971" spans="1:4">
      <c r="A2971" s="107">
        <v>1</v>
      </c>
      <c r="B2971" s="1325"/>
      <c r="C2971" t="s">
        <v>421</v>
      </c>
      <c r="D2971" s="223">
        <v>0</v>
      </c>
    </row>
    <row r="2972" spans="1:4">
      <c r="A2972" s="646">
        <v>2</v>
      </c>
      <c r="B2972" s="1323" t="s">
        <v>1238</v>
      </c>
      <c r="C2972" t="s">
        <v>444</v>
      </c>
      <c r="D2972" s="223">
        <v>0</v>
      </c>
    </row>
    <row r="2973" spans="1:4">
      <c r="A2973" s="646">
        <v>2</v>
      </c>
      <c r="B2973" s="1324"/>
      <c r="C2973" t="s">
        <v>445</v>
      </c>
      <c r="D2973" s="223">
        <v>0</v>
      </c>
    </row>
    <row r="2974" spans="1:4">
      <c r="A2974" s="646">
        <v>2</v>
      </c>
      <c r="B2974" s="1324"/>
      <c r="C2974" t="s">
        <v>446</v>
      </c>
      <c r="D2974" s="223">
        <v>23272.400000000001</v>
      </c>
    </row>
    <row r="2975" spans="1:4">
      <c r="A2975" s="646">
        <v>2</v>
      </c>
      <c r="B2975" s="1324"/>
      <c r="C2975" t="s">
        <v>1253</v>
      </c>
      <c r="D2975" s="223">
        <v>0</v>
      </c>
    </row>
    <row r="2976" spans="1:4">
      <c r="A2976" s="646">
        <v>2</v>
      </c>
      <c r="B2976" s="1325"/>
      <c r="C2976" t="s">
        <v>421</v>
      </c>
      <c r="D2976" s="223">
        <v>0</v>
      </c>
    </row>
    <row r="2977" spans="1:4">
      <c r="A2977" s="107">
        <v>2</v>
      </c>
      <c r="B2977" s="1323" t="s">
        <v>1239</v>
      </c>
      <c r="C2977" t="s">
        <v>444</v>
      </c>
      <c r="D2977" s="223">
        <v>0</v>
      </c>
    </row>
    <row r="2978" spans="1:4">
      <c r="A2978" s="107">
        <v>2</v>
      </c>
      <c r="B2978" s="1324"/>
      <c r="C2978" t="s">
        <v>445</v>
      </c>
      <c r="D2978" s="223">
        <v>0</v>
      </c>
    </row>
    <row r="2979" spans="1:4">
      <c r="A2979" s="107">
        <v>2</v>
      </c>
      <c r="B2979" s="1324"/>
      <c r="C2979" t="s">
        <v>446</v>
      </c>
      <c r="D2979" s="223">
        <v>213341</v>
      </c>
    </row>
    <row r="2980" spans="1:4">
      <c r="A2980" s="107">
        <v>2</v>
      </c>
      <c r="B2980" s="1324"/>
      <c r="C2980" t="s">
        <v>1253</v>
      </c>
      <c r="D2980" s="223">
        <v>0</v>
      </c>
    </row>
    <row r="2981" spans="1:4">
      <c r="A2981" s="107">
        <v>2</v>
      </c>
      <c r="B2981" s="1325"/>
      <c r="C2981" t="s">
        <v>421</v>
      </c>
      <c r="D2981" s="223">
        <v>0</v>
      </c>
    </row>
    <row r="2982" spans="1:4">
      <c r="A2982" s="107">
        <v>2</v>
      </c>
      <c r="B2982" s="1323" t="s">
        <v>1240</v>
      </c>
      <c r="C2982" t="s">
        <v>444</v>
      </c>
      <c r="D2982" s="223">
        <v>0</v>
      </c>
    </row>
    <row r="2983" spans="1:4">
      <c r="A2983" s="107">
        <v>2</v>
      </c>
      <c r="B2983" s="1324"/>
      <c r="C2983" t="s">
        <v>445</v>
      </c>
      <c r="D2983" s="223">
        <v>0</v>
      </c>
    </row>
    <row r="2984" spans="1:4">
      <c r="A2984" s="107">
        <v>2</v>
      </c>
      <c r="B2984" s="1324"/>
      <c r="C2984" t="s">
        <v>446</v>
      </c>
      <c r="D2984" s="223">
        <v>84997.8</v>
      </c>
    </row>
    <row r="2985" spans="1:4">
      <c r="A2985" s="107">
        <v>2</v>
      </c>
      <c r="B2985" s="1324"/>
      <c r="C2985" t="s">
        <v>1253</v>
      </c>
      <c r="D2985" s="223">
        <v>0</v>
      </c>
    </row>
    <row r="2986" spans="1:4">
      <c r="A2986" s="107">
        <v>2</v>
      </c>
      <c r="B2986" s="1325"/>
      <c r="C2986" t="s">
        <v>421</v>
      </c>
      <c r="D2986" s="223">
        <v>0</v>
      </c>
    </row>
    <row r="2987" spans="1:4">
      <c r="A2987" s="107">
        <v>2</v>
      </c>
      <c r="B2987" s="1323" t="s">
        <v>1241</v>
      </c>
      <c r="C2987" t="s">
        <v>444</v>
      </c>
      <c r="D2987" s="223">
        <v>24282.9</v>
      </c>
    </row>
    <row r="2988" spans="1:4">
      <c r="A2988" s="107">
        <v>2</v>
      </c>
      <c r="B2988" s="1324"/>
      <c r="C2988" t="s">
        <v>445</v>
      </c>
      <c r="D2988" s="223">
        <v>0</v>
      </c>
    </row>
    <row r="2989" spans="1:4">
      <c r="A2989" s="107">
        <v>2</v>
      </c>
      <c r="B2989" s="1324"/>
      <c r="C2989" t="s">
        <v>446</v>
      </c>
      <c r="D2989" s="223">
        <v>33817.5</v>
      </c>
    </row>
    <row r="2990" spans="1:4">
      <c r="A2990" s="107">
        <v>2</v>
      </c>
      <c r="B2990" s="1324"/>
      <c r="C2990" t="s">
        <v>1253</v>
      </c>
      <c r="D2990" s="223">
        <v>0</v>
      </c>
    </row>
    <row r="2991" spans="1:4">
      <c r="A2991" s="107">
        <v>2</v>
      </c>
      <c r="B2991" s="1325"/>
      <c r="C2991" t="s">
        <v>421</v>
      </c>
      <c r="D2991" s="223">
        <v>0</v>
      </c>
    </row>
    <row r="2992" spans="1:4">
      <c r="A2992" s="107">
        <v>9</v>
      </c>
      <c r="B2992" s="1323" t="s">
        <v>1242</v>
      </c>
      <c r="C2992" t="s">
        <v>444</v>
      </c>
      <c r="D2992" s="223">
        <v>1141.0999999999999</v>
      </c>
    </row>
    <row r="2993" spans="1:4">
      <c r="A2993" s="107">
        <v>9</v>
      </c>
      <c r="B2993" s="1324"/>
      <c r="C2993" t="s">
        <v>445</v>
      </c>
      <c r="D2993" s="223">
        <v>4125</v>
      </c>
    </row>
    <row r="2994" spans="1:4">
      <c r="A2994" s="107">
        <v>9</v>
      </c>
      <c r="B2994" s="1324"/>
      <c r="C2994" t="s">
        <v>446</v>
      </c>
      <c r="D2994" s="223">
        <v>54886.2</v>
      </c>
    </row>
    <row r="2995" spans="1:4">
      <c r="A2995" s="107">
        <v>9</v>
      </c>
      <c r="B2995" s="1324"/>
      <c r="C2995" t="s">
        <v>1253</v>
      </c>
      <c r="D2995" s="223">
        <v>0</v>
      </c>
    </row>
    <row r="2996" spans="1:4">
      <c r="A2996" s="107">
        <v>9</v>
      </c>
      <c r="B2996" s="1325"/>
      <c r="C2996" t="s">
        <v>421</v>
      </c>
      <c r="D2996" s="223">
        <v>0</v>
      </c>
    </row>
    <row r="2997" spans="1:4">
      <c r="A2997" s="107">
        <v>2</v>
      </c>
      <c r="B2997" s="1323" t="s">
        <v>1243</v>
      </c>
      <c r="C2997" t="s">
        <v>444</v>
      </c>
      <c r="D2997" s="223">
        <v>0</v>
      </c>
    </row>
    <row r="2998" spans="1:4">
      <c r="A2998" s="107">
        <v>2</v>
      </c>
      <c r="B2998" s="1324"/>
      <c r="C2998" t="s">
        <v>445</v>
      </c>
      <c r="D2998" s="223">
        <v>0</v>
      </c>
    </row>
    <row r="2999" spans="1:4">
      <c r="A2999" s="107">
        <v>2</v>
      </c>
      <c r="B2999" s="1324"/>
      <c r="C2999" t="s">
        <v>446</v>
      </c>
      <c r="D2999" s="223">
        <v>22212.9</v>
      </c>
    </row>
    <row r="3000" spans="1:4">
      <c r="A3000" s="107">
        <v>2</v>
      </c>
      <c r="B3000" s="1324"/>
      <c r="C3000" t="s">
        <v>1253</v>
      </c>
      <c r="D3000" s="223">
        <v>0</v>
      </c>
    </row>
    <row r="3001" spans="1:4">
      <c r="A3001" s="107">
        <v>2</v>
      </c>
      <c r="B3001" s="1325"/>
      <c r="C3001" t="s">
        <v>421</v>
      </c>
      <c r="D3001" s="223">
        <v>0</v>
      </c>
    </row>
    <row r="3002" spans="1:4">
      <c r="A3002" s="107">
        <v>2</v>
      </c>
      <c r="B3002" s="1323" t="s">
        <v>1244</v>
      </c>
      <c r="C3002" t="s">
        <v>444</v>
      </c>
      <c r="D3002" s="223">
        <v>0</v>
      </c>
    </row>
    <row r="3003" spans="1:4">
      <c r="A3003" s="107">
        <v>2</v>
      </c>
      <c r="B3003" s="1324"/>
      <c r="C3003" t="s">
        <v>445</v>
      </c>
      <c r="D3003" s="223">
        <v>0</v>
      </c>
    </row>
    <row r="3004" spans="1:4">
      <c r="A3004" s="107">
        <v>2</v>
      </c>
      <c r="B3004" s="1324"/>
      <c r="C3004" t="s">
        <v>446</v>
      </c>
      <c r="D3004" s="223">
        <v>156238.29999999999</v>
      </c>
    </row>
    <row r="3005" spans="1:4">
      <c r="A3005" s="107">
        <v>2</v>
      </c>
      <c r="B3005" s="1324"/>
      <c r="C3005" t="s">
        <v>1253</v>
      </c>
      <c r="D3005" s="223">
        <v>0</v>
      </c>
    </row>
    <row r="3006" spans="1:4">
      <c r="A3006" s="107">
        <v>2</v>
      </c>
      <c r="B3006" s="1325"/>
      <c r="C3006" t="s">
        <v>421</v>
      </c>
      <c r="D3006" s="223">
        <v>0</v>
      </c>
    </row>
    <row r="3007" spans="1:4">
      <c r="A3007" s="107">
        <v>2</v>
      </c>
      <c r="B3007" s="1323" t="s">
        <v>1246</v>
      </c>
      <c r="C3007" t="s">
        <v>444</v>
      </c>
      <c r="D3007" s="223">
        <v>0</v>
      </c>
    </row>
    <row r="3008" spans="1:4">
      <c r="A3008" s="107">
        <v>2</v>
      </c>
      <c r="B3008" s="1324"/>
      <c r="C3008" t="s">
        <v>445</v>
      </c>
      <c r="D3008" s="223">
        <v>0</v>
      </c>
    </row>
    <row r="3009" spans="1:4">
      <c r="A3009" s="107">
        <v>2</v>
      </c>
      <c r="B3009" s="1324"/>
      <c r="C3009" t="s">
        <v>446</v>
      </c>
      <c r="D3009" s="223">
        <v>14302</v>
      </c>
    </row>
    <row r="3010" spans="1:4">
      <c r="A3010" s="107">
        <v>2</v>
      </c>
      <c r="B3010" s="1324"/>
      <c r="C3010" t="s">
        <v>1253</v>
      </c>
      <c r="D3010" s="223">
        <v>0</v>
      </c>
    </row>
    <row r="3011" spans="1:4">
      <c r="A3011" s="107">
        <v>2</v>
      </c>
      <c r="B3011" s="1324"/>
      <c r="C3011" t="s">
        <v>421</v>
      </c>
      <c r="D3011" s="223">
        <v>0</v>
      </c>
    </row>
    <row r="3012" spans="1:4">
      <c r="A3012" s="107">
        <v>2</v>
      </c>
      <c r="B3012" s="1324" t="s">
        <v>1561</v>
      </c>
      <c r="C3012" t="s">
        <v>444</v>
      </c>
      <c r="D3012" s="223">
        <v>0</v>
      </c>
    </row>
    <row r="3013" spans="1:4">
      <c r="A3013" s="107">
        <v>2</v>
      </c>
      <c r="B3013" s="1324"/>
      <c r="C3013" t="s">
        <v>445</v>
      </c>
      <c r="D3013" s="223">
        <v>0</v>
      </c>
    </row>
    <row r="3014" spans="1:4">
      <c r="A3014" s="107">
        <v>2</v>
      </c>
      <c r="B3014" s="1324"/>
      <c r="C3014" t="s">
        <v>446</v>
      </c>
      <c r="D3014" s="223">
        <v>436881.5</v>
      </c>
    </row>
    <row r="3015" spans="1:4">
      <c r="A3015" s="107">
        <v>2</v>
      </c>
      <c r="B3015" s="1324"/>
      <c r="C3015" t="s">
        <v>1253</v>
      </c>
      <c r="D3015" s="223">
        <v>0</v>
      </c>
    </row>
    <row r="3016" spans="1:4">
      <c r="A3016" s="107">
        <v>2</v>
      </c>
      <c r="B3016" s="1324"/>
      <c r="C3016" t="s">
        <v>421</v>
      </c>
      <c r="D3016" s="223">
        <v>0</v>
      </c>
    </row>
    <row r="3017" spans="1:4">
      <c r="A3017" s="107">
        <v>2</v>
      </c>
      <c r="B3017" s="1324" t="s">
        <v>1562</v>
      </c>
      <c r="C3017" t="s">
        <v>444</v>
      </c>
      <c r="D3017" s="223">
        <v>0</v>
      </c>
    </row>
    <row r="3018" spans="1:4">
      <c r="A3018" s="107">
        <v>2</v>
      </c>
      <c r="B3018" s="1324"/>
      <c r="C3018" t="s">
        <v>445</v>
      </c>
      <c r="D3018" s="223">
        <v>0</v>
      </c>
    </row>
    <row r="3019" spans="1:4">
      <c r="A3019" s="107">
        <v>2</v>
      </c>
      <c r="B3019" s="1324"/>
      <c r="C3019" t="s">
        <v>446</v>
      </c>
      <c r="D3019" s="223">
        <v>20639.900000000001</v>
      </c>
    </row>
    <row r="3020" spans="1:4">
      <c r="A3020" s="107">
        <v>2</v>
      </c>
      <c r="B3020" s="1324"/>
      <c r="C3020" t="s">
        <v>1253</v>
      </c>
      <c r="D3020" s="223">
        <v>0</v>
      </c>
    </row>
    <row r="3021" spans="1:4" ht="12.75" customHeight="1">
      <c r="A3021" s="107">
        <v>2</v>
      </c>
      <c r="B3021" s="1324"/>
      <c r="C3021" t="s">
        <v>421</v>
      </c>
      <c r="D3021" s="223">
        <v>0</v>
      </c>
    </row>
    <row r="3022" spans="1:4" ht="12.75" customHeight="1">
      <c r="A3022" s="107">
        <v>2</v>
      </c>
      <c r="B3022" s="1324" t="s">
        <v>1563</v>
      </c>
      <c r="C3022" t="s">
        <v>444</v>
      </c>
      <c r="D3022" s="223">
        <v>0</v>
      </c>
    </row>
    <row r="3023" spans="1:4">
      <c r="A3023" s="107">
        <v>2</v>
      </c>
      <c r="B3023" s="1324"/>
      <c r="C3023" t="s">
        <v>445</v>
      </c>
      <c r="D3023" s="223">
        <v>0</v>
      </c>
    </row>
    <row r="3024" spans="1:4">
      <c r="A3024" s="107">
        <v>2</v>
      </c>
      <c r="B3024" s="1324"/>
      <c r="C3024" t="s">
        <v>446</v>
      </c>
      <c r="D3024" s="223">
        <v>196322.4</v>
      </c>
    </row>
    <row r="3025" spans="1:4">
      <c r="A3025" s="107">
        <v>2</v>
      </c>
      <c r="B3025" s="1324"/>
      <c r="C3025" t="s">
        <v>1253</v>
      </c>
      <c r="D3025" s="223">
        <v>0</v>
      </c>
    </row>
    <row r="3026" spans="1:4">
      <c r="A3026" s="107">
        <v>2</v>
      </c>
      <c r="B3026" s="1324"/>
      <c r="C3026" t="s">
        <v>421</v>
      </c>
      <c r="D3026" s="223">
        <v>0</v>
      </c>
    </row>
    <row r="3027" spans="1:4">
      <c r="A3027" s="107">
        <v>2</v>
      </c>
      <c r="B3027" s="1324" t="s">
        <v>1564</v>
      </c>
      <c r="C3027" t="s">
        <v>444</v>
      </c>
      <c r="D3027" s="223">
        <v>0</v>
      </c>
    </row>
    <row r="3028" spans="1:4">
      <c r="A3028" s="107">
        <v>2</v>
      </c>
      <c r="B3028" s="1324"/>
      <c r="C3028" t="s">
        <v>445</v>
      </c>
      <c r="D3028" s="223">
        <v>0</v>
      </c>
    </row>
    <row r="3029" spans="1:4">
      <c r="A3029" s="107">
        <v>2</v>
      </c>
      <c r="B3029" s="1324"/>
      <c r="C3029" t="s">
        <v>446</v>
      </c>
      <c r="D3029" s="223">
        <v>190195.4</v>
      </c>
    </row>
    <row r="3030" spans="1:4">
      <c r="A3030" s="107">
        <v>2</v>
      </c>
      <c r="B3030" s="1324"/>
      <c r="C3030" t="s">
        <v>1253</v>
      </c>
      <c r="D3030" s="223">
        <v>0</v>
      </c>
    </row>
    <row r="3031" spans="1:4">
      <c r="A3031" s="107">
        <v>2</v>
      </c>
      <c r="B3031" s="1324"/>
      <c r="C3031" t="s">
        <v>421</v>
      </c>
      <c r="D3031" s="223">
        <v>0</v>
      </c>
    </row>
    <row r="3032" spans="1:4">
      <c r="A3032" s="107">
        <v>1</v>
      </c>
      <c r="B3032" s="1324" t="s">
        <v>1566</v>
      </c>
      <c r="C3032" t="s">
        <v>444</v>
      </c>
      <c r="D3032" s="223">
        <v>0</v>
      </c>
    </row>
    <row r="3033" spans="1:4">
      <c r="A3033" s="107">
        <v>1</v>
      </c>
      <c r="B3033" s="1324"/>
      <c r="C3033" t="s">
        <v>445</v>
      </c>
      <c r="D3033" s="223">
        <v>0</v>
      </c>
    </row>
    <row r="3034" spans="1:4">
      <c r="A3034" s="107">
        <v>1</v>
      </c>
      <c r="B3034" s="1324"/>
      <c r="C3034" t="s">
        <v>446</v>
      </c>
      <c r="D3034" s="223">
        <v>30079.4</v>
      </c>
    </row>
    <row r="3035" spans="1:4">
      <c r="A3035" s="107">
        <v>1</v>
      </c>
      <c r="B3035" s="1324"/>
      <c r="C3035" t="s">
        <v>1253</v>
      </c>
      <c r="D3035" s="223">
        <v>0</v>
      </c>
    </row>
    <row r="3036" spans="1:4">
      <c r="A3036" s="107">
        <v>1</v>
      </c>
      <c r="B3036" s="1324"/>
      <c r="C3036" t="s">
        <v>421</v>
      </c>
      <c r="D3036" s="223">
        <v>0</v>
      </c>
    </row>
    <row r="3037" spans="1:4">
      <c r="A3037" s="107">
        <v>2</v>
      </c>
      <c r="B3037" s="1323" t="s">
        <v>1567</v>
      </c>
      <c r="C3037" t="s">
        <v>444</v>
      </c>
      <c r="D3037" s="223">
        <v>23922</v>
      </c>
    </row>
    <row r="3038" spans="1:4">
      <c r="A3038" s="107">
        <v>2</v>
      </c>
      <c r="B3038" s="1324"/>
      <c r="C3038" t="s">
        <v>445</v>
      </c>
      <c r="D3038" s="223">
        <v>0</v>
      </c>
    </row>
    <row r="3039" spans="1:4">
      <c r="A3039" s="107">
        <v>2</v>
      </c>
      <c r="B3039" s="1324"/>
      <c r="C3039" t="s">
        <v>446</v>
      </c>
      <c r="D3039" s="223">
        <v>3696.9</v>
      </c>
    </row>
    <row r="3040" spans="1:4">
      <c r="A3040" s="107">
        <v>2</v>
      </c>
      <c r="B3040" s="1324"/>
      <c r="C3040" t="s">
        <v>1253</v>
      </c>
      <c r="D3040" s="223">
        <v>0</v>
      </c>
    </row>
    <row r="3041" spans="1:4">
      <c r="A3041" s="107">
        <v>2</v>
      </c>
      <c r="B3041" s="1324"/>
      <c r="C3041" t="s">
        <v>421</v>
      </c>
      <c r="D3041" s="223">
        <v>0</v>
      </c>
    </row>
    <row r="3042" spans="1:4">
      <c r="A3042" s="646">
        <v>2</v>
      </c>
      <c r="B3042" s="1331" t="s">
        <v>2166</v>
      </c>
      <c r="C3042" t="s">
        <v>444</v>
      </c>
      <c r="D3042" s="223">
        <v>0</v>
      </c>
    </row>
    <row r="3043" spans="1:4">
      <c r="A3043" s="646">
        <v>2</v>
      </c>
      <c r="B3043" s="1331"/>
      <c r="C3043" t="s">
        <v>445</v>
      </c>
      <c r="D3043" s="223">
        <v>0</v>
      </c>
    </row>
    <row r="3044" spans="1:4">
      <c r="A3044" s="646">
        <v>2</v>
      </c>
      <c r="B3044" s="1331"/>
      <c r="C3044" t="s">
        <v>446</v>
      </c>
      <c r="D3044" s="223">
        <v>2290.5</v>
      </c>
    </row>
    <row r="3045" spans="1:4">
      <c r="A3045" s="646">
        <v>2</v>
      </c>
      <c r="B3045" s="1331"/>
      <c r="C3045" t="s">
        <v>1253</v>
      </c>
      <c r="D3045" s="223">
        <v>0</v>
      </c>
    </row>
    <row r="3046" spans="1:4">
      <c r="A3046" s="646">
        <v>2</v>
      </c>
      <c r="B3046" s="1331"/>
      <c r="C3046" t="s">
        <v>421</v>
      </c>
      <c r="D3046" s="223">
        <v>0</v>
      </c>
    </row>
    <row r="3047" spans="1:4">
      <c r="A3047" s="107">
        <v>10</v>
      </c>
      <c r="B3047" s="1331" t="s">
        <v>1568</v>
      </c>
      <c r="C3047" t="s">
        <v>444</v>
      </c>
      <c r="D3047" s="223">
        <v>0</v>
      </c>
    </row>
    <row r="3048" spans="1:4">
      <c r="A3048" s="107">
        <v>10</v>
      </c>
      <c r="B3048" s="1331"/>
      <c r="C3048" t="s">
        <v>445</v>
      </c>
      <c r="D3048" s="223">
        <v>0</v>
      </c>
    </row>
    <row r="3049" spans="1:4">
      <c r="A3049" s="107">
        <v>10</v>
      </c>
      <c r="B3049" s="1331"/>
      <c r="C3049" t="s">
        <v>446</v>
      </c>
      <c r="D3049" s="223">
        <v>304870.7</v>
      </c>
    </row>
    <row r="3050" spans="1:4">
      <c r="A3050" s="107">
        <v>10</v>
      </c>
      <c r="B3050" s="1331"/>
      <c r="C3050" t="s">
        <v>1253</v>
      </c>
      <c r="D3050" s="223">
        <v>0</v>
      </c>
    </row>
    <row r="3051" spans="1:4">
      <c r="A3051" s="107">
        <v>10</v>
      </c>
      <c r="B3051" s="1331"/>
      <c r="C3051" t="s">
        <v>421</v>
      </c>
      <c r="D3051" s="223">
        <v>0</v>
      </c>
    </row>
    <row r="3052" spans="1:4">
      <c r="A3052" s="107">
        <v>2</v>
      </c>
      <c r="B3052" s="1331" t="s">
        <v>2167</v>
      </c>
      <c r="C3052" t="s">
        <v>444</v>
      </c>
      <c r="D3052" s="223">
        <v>0</v>
      </c>
    </row>
    <row r="3053" spans="1:4">
      <c r="A3053" s="107">
        <v>2</v>
      </c>
      <c r="B3053" s="1331"/>
      <c r="C3053" t="s">
        <v>445</v>
      </c>
      <c r="D3053" s="223">
        <v>0</v>
      </c>
    </row>
    <row r="3054" spans="1:4">
      <c r="A3054" s="107">
        <v>2</v>
      </c>
      <c r="B3054" s="1331"/>
      <c r="C3054" t="s">
        <v>446</v>
      </c>
      <c r="D3054" s="223">
        <v>35714.300000000003</v>
      </c>
    </row>
    <row r="3055" spans="1:4">
      <c r="A3055" s="107">
        <v>2</v>
      </c>
      <c r="B3055" s="1331"/>
      <c r="C3055" t="s">
        <v>1253</v>
      </c>
      <c r="D3055" s="223">
        <v>0</v>
      </c>
    </row>
    <row r="3056" spans="1:4">
      <c r="A3056" s="107">
        <v>2</v>
      </c>
      <c r="B3056" s="1331"/>
      <c r="C3056" t="s">
        <v>421</v>
      </c>
      <c r="D3056" s="223">
        <v>0</v>
      </c>
    </row>
    <row r="3057" spans="1:4">
      <c r="A3057" s="107">
        <v>1</v>
      </c>
      <c r="B3057" s="1331" t="s">
        <v>2168</v>
      </c>
      <c r="C3057" t="s">
        <v>444</v>
      </c>
      <c r="D3057" s="223">
        <v>0</v>
      </c>
    </row>
    <row r="3058" spans="1:4">
      <c r="A3058" s="107">
        <v>1</v>
      </c>
      <c r="B3058" s="1331"/>
      <c r="C3058" t="s">
        <v>445</v>
      </c>
      <c r="D3058" s="223">
        <v>0</v>
      </c>
    </row>
    <row r="3059" spans="1:4">
      <c r="A3059" s="107">
        <v>1</v>
      </c>
      <c r="B3059" s="1331"/>
      <c r="C3059" t="s">
        <v>446</v>
      </c>
      <c r="D3059" s="223">
        <v>11697.9</v>
      </c>
    </row>
    <row r="3060" spans="1:4">
      <c r="A3060" s="107">
        <v>1</v>
      </c>
      <c r="B3060" s="1331"/>
      <c r="C3060" t="s">
        <v>1253</v>
      </c>
      <c r="D3060" s="223">
        <v>0</v>
      </c>
    </row>
    <row r="3061" spans="1:4">
      <c r="A3061" s="107">
        <v>1</v>
      </c>
      <c r="B3061" s="1331"/>
      <c r="C3061" t="s">
        <v>421</v>
      </c>
      <c r="D3061" s="223">
        <v>0</v>
      </c>
    </row>
    <row r="3062" spans="1:4">
      <c r="A3062" s="107">
        <v>1</v>
      </c>
      <c r="B3062" s="1331" t="s">
        <v>2169</v>
      </c>
      <c r="C3062" t="s">
        <v>444</v>
      </c>
      <c r="D3062" s="223">
        <v>9984.1</v>
      </c>
    </row>
    <row r="3063" spans="1:4">
      <c r="A3063" s="107">
        <v>1</v>
      </c>
      <c r="B3063" s="1331"/>
      <c r="C3063" t="s">
        <v>445</v>
      </c>
      <c r="D3063" s="223">
        <v>37172.699999999997</v>
      </c>
    </row>
    <row r="3064" spans="1:4">
      <c r="A3064" s="107">
        <v>1</v>
      </c>
      <c r="B3064" s="1331"/>
      <c r="C3064" t="s">
        <v>446</v>
      </c>
      <c r="D3064" s="223">
        <v>283.89999999999998</v>
      </c>
    </row>
    <row r="3065" spans="1:4">
      <c r="A3065" s="107">
        <v>1</v>
      </c>
      <c r="B3065" s="1331"/>
      <c r="C3065" t="s">
        <v>1253</v>
      </c>
      <c r="D3065" s="223">
        <v>0</v>
      </c>
    </row>
    <row r="3066" spans="1:4">
      <c r="A3066" s="107">
        <v>1</v>
      </c>
      <c r="B3066" s="1331"/>
      <c r="C3066" t="s">
        <v>421</v>
      </c>
      <c r="D3066" s="223">
        <v>0</v>
      </c>
    </row>
    <row r="3067" spans="1:4">
      <c r="A3067" s="107">
        <v>1</v>
      </c>
      <c r="B3067" s="1331" t="s">
        <v>2170</v>
      </c>
      <c r="C3067" t="s">
        <v>444</v>
      </c>
      <c r="D3067" s="223">
        <v>0</v>
      </c>
    </row>
    <row r="3068" spans="1:4">
      <c r="A3068" s="107">
        <v>1</v>
      </c>
      <c r="B3068" s="1331"/>
      <c r="C3068" t="s">
        <v>445</v>
      </c>
      <c r="D3068" s="223">
        <v>0</v>
      </c>
    </row>
    <row r="3069" spans="1:4">
      <c r="A3069" s="107">
        <v>1</v>
      </c>
      <c r="B3069" s="1331"/>
      <c r="C3069" t="s">
        <v>446</v>
      </c>
      <c r="D3069" s="223">
        <v>9003.2999999999993</v>
      </c>
    </row>
    <row r="3070" spans="1:4">
      <c r="A3070" s="107">
        <v>1</v>
      </c>
      <c r="B3070" s="1331"/>
      <c r="C3070" t="s">
        <v>1253</v>
      </c>
      <c r="D3070" s="223">
        <v>0</v>
      </c>
    </row>
    <row r="3071" spans="1:4">
      <c r="A3071" s="107">
        <v>1</v>
      </c>
      <c r="B3071" s="1331"/>
      <c r="C3071" t="s">
        <v>421</v>
      </c>
      <c r="D3071" s="223">
        <v>0</v>
      </c>
    </row>
    <row r="3072" spans="1:4">
      <c r="A3072" s="646">
        <v>2</v>
      </c>
      <c r="B3072" s="1331" t="s">
        <v>2171</v>
      </c>
      <c r="C3072" t="s">
        <v>444</v>
      </c>
      <c r="D3072" s="223">
        <v>0</v>
      </c>
    </row>
    <row r="3073" spans="1:4">
      <c r="A3073" s="646">
        <v>2</v>
      </c>
      <c r="B3073" s="1331"/>
      <c r="C3073" t="s">
        <v>445</v>
      </c>
      <c r="D3073" s="223">
        <v>0</v>
      </c>
    </row>
    <row r="3074" spans="1:4">
      <c r="A3074" s="646">
        <v>2</v>
      </c>
      <c r="B3074" s="1331"/>
      <c r="C3074" t="s">
        <v>446</v>
      </c>
      <c r="D3074" s="223">
        <v>2000</v>
      </c>
    </row>
    <row r="3075" spans="1:4">
      <c r="A3075" s="646">
        <v>2</v>
      </c>
      <c r="B3075" s="1331"/>
      <c r="C3075" t="s">
        <v>1253</v>
      </c>
      <c r="D3075" s="223">
        <v>0</v>
      </c>
    </row>
    <row r="3076" spans="1:4">
      <c r="A3076" s="646">
        <v>2</v>
      </c>
      <c r="B3076" s="1331"/>
      <c r="C3076" t="s">
        <v>421</v>
      </c>
      <c r="D3076" s="223">
        <v>0</v>
      </c>
    </row>
    <row r="3077" spans="1:4">
      <c r="A3077" s="646">
        <v>11</v>
      </c>
      <c r="B3077" s="1331" t="s">
        <v>2172</v>
      </c>
      <c r="C3077" t="s">
        <v>444</v>
      </c>
      <c r="D3077" s="223">
        <v>0</v>
      </c>
    </row>
    <row r="3078" spans="1:4">
      <c r="A3078" s="646">
        <v>11</v>
      </c>
      <c r="B3078" s="1331"/>
      <c r="C3078" t="s">
        <v>445</v>
      </c>
      <c r="D3078" s="223">
        <v>0</v>
      </c>
    </row>
    <row r="3079" spans="1:4">
      <c r="A3079" s="646">
        <v>11</v>
      </c>
      <c r="B3079" s="1331"/>
      <c r="C3079" t="s">
        <v>446</v>
      </c>
      <c r="D3079" s="223">
        <v>1500</v>
      </c>
    </row>
    <row r="3080" spans="1:4">
      <c r="A3080" s="646">
        <v>11</v>
      </c>
      <c r="B3080" s="1331"/>
      <c r="C3080" t="s">
        <v>1253</v>
      </c>
      <c r="D3080" s="223">
        <v>0</v>
      </c>
    </row>
    <row r="3081" spans="1:4">
      <c r="A3081" s="646">
        <v>11</v>
      </c>
      <c r="B3081" s="1331"/>
      <c r="C3081" t="s">
        <v>421</v>
      </c>
      <c r="D3081" s="223">
        <v>0</v>
      </c>
    </row>
    <row r="3082" spans="1:4">
      <c r="A3082" s="107">
        <v>2</v>
      </c>
      <c r="B3082" s="1331" t="s">
        <v>2173</v>
      </c>
      <c r="C3082" t="s">
        <v>444</v>
      </c>
      <c r="D3082" s="223">
        <v>500</v>
      </c>
    </row>
    <row r="3083" spans="1:4">
      <c r="A3083" s="107">
        <v>2</v>
      </c>
      <c r="B3083" s="1331"/>
      <c r="C3083" t="s">
        <v>445</v>
      </c>
      <c r="D3083" s="223">
        <v>0</v>
      </c>
    </row>
    <row r="3084" spans="1:4">
      <c r="A3084" s="107">
        <v>2</v>
      </c>
      <c r="B3084" s="1331"/>
      <c r="C3084" t="s">
        <v>446</v>
      </c>
      <c r="D3084" s="223">
        <v>500</v>
      </c>
    </row>
    <row r="3085" spans="1:4">
      <c r="A3085" s="107">
        <v>2</v>
      </c>
      <c r="B3085" s="1331"/>
      <c r="C3085" t="s">
        <v>1253</v>
      </c>
      <c r="D3085" s="223">
        <v>0</v>
      </c>
    </row>
    <row r="3086" spans="1:4">
      <c r="A3086" s="107">
        <v>2</v>
      </c>
      <c r="B3086" s="1331"/>
      <c r="C3086" t="s">
        <v>421</v>
      </c>
      <c r="D3086" s="223">
        <v>0</v>
      </c>
    </row>
    <row r="3087" spans="1:4">
      <c r="A3087" s="107"/>
    </row>
    <row r="3088" spans="1:4">
      <c r="A3088" s="107"/>
    </row>
    <row r="3089" spans="1:1">
      <c r="A3089" s="107"/>
    </row>
    <row r="3090" spans="1:1">
      <c r="A3090" s="107"/>
    </row>
    <row r="3091" spans="1:1">
      <c r="A3091" s="107"/>
    </row>
    <row r="3092" spans="1:1">
      <c r="A3092" s="107"/>
    </row>
    <row r="3093" spans="1:1">
      <c r="A3093" s="107"/>
    </row>
    <row r="3094" spans="1:1">
      <c r="A3094" s="107"/>
    </row>
    <row r="3095" spans="1:1">
      <c r="A3095" s="107"/>
    </row>
    <row r="3096" spans="1:1">
      <c r="A3096" s="107"/>
    </row>
    <row r="3097" spans="1:1">
      <c r="A3097" s="107"/>
    </row>
    <row r="3098" spans="1:1">
      <c r="A3098" s="107"/>
    </row>
    <row r="3099" spans="1:1">
      <c r="A3099" s="107"/>
    </row>
    <row r="3100" spans="1:1">
      <c r="A3100" s="107"/>
    </row>
    <row r="3101" spans="1:1">
      <c r="A3101" s="107"/>
    </row>
    <row r="3102" spans="1:1">
      <c r="A3102" s="107"/>
    </row>
    <row r="3103" spans="1:1">
      <c r="A3103" s="107"/>
    </row>
    <row r="3104" spans="1:1">
      <c r="A3104" s="107"/>
    </row>
    <row r="3105" spans="1:1">
      <c r="A3105" s="107"/>
    </row>
    <row r="3106" spans="1:1">
      <c r="A3106" s="107"/>
    </row>
    <row r="3107" spans="1:1">
      <c r="A3107" s="107"/>
    </row>
    <row r="3108" spans="1:1">
      <c r="A3108" s="107"/>
    </row>
    <row r="3109" spans="1:1">
      <c r="A3109" s="107"/>
    </row>
    <row r="3110" spans="1:1">
      <c r="A3110" s="107"/>
    </row>
    <row r="3111" spans="1:1">
      <c r="A3111" s="107"/>
    </row>
    <row r="3112" spans="1:1">
      <c r="A3112" s="107"/>
    </row>
    <row r="3113" spans="1:1">
      <c r="A3113" s="107"/>
    </row>
    <row r="3114" spans="1:1">
      <c r="A3114" s="107"/>
    </row>
    <row r="3115" spans="1:1">
      <c r="A3115" s="107"/>
    </row>
    <row r="3116" spans="1:1">
      <c r="A3116" s="107"/>
    </row>
    <row r="3117" spans="1:1">
      <c r="A3117" s="107"/>
    </row>
    <row r="3118" spans="1:1">
      <c r="A3118" s="107"/>
    </row>
    <row r="3119" spans="1:1">
      <c r="A3119" s="107"/>
    </row>
    <row r="3120" spans="1:1">
      <c r="A3120" s="107"/>
    </row>
    <row r="3121" spans="1:1">
      <c r="A3121" s="107"/>
    </row>
    <row r="3122" spans="1:1">
      <c r="A3122" s="107"/>
    </row>
    <row r="3123" spans="1:1">
      <c r="A3123" s="107"/>
    </row>
    <row r="3124" spans="1:1">
      <c r="A3124" s="107"/>
    </row>
    <row r="3125" spans="1:1">
      <c r="A3125" s="107"/>
    </row>
    <row r="3126" spans="1:1">
      <c r="A3126" s="107"/>
    </row>
    <row r="3127" spans="1:1">
      <c r="A3127" s="107"/>
    </row>
    <row r="3128" spans="1:1">
      <c r="A3128" s="107"/>
    </row>
    <row r="3129" spans="1:1">
      <c r="A3129" s="107"/>
    </row>
    <row r="3130" spans="1:1">
      <c r="A3130" s="107"/>
    </row>
    <row r="3131" spans="1:1">
      <c r="A3131" s="107"/>
    </row>
    <row r="3132" spans="1:1">
      <c r="A3132" s="107"/>
    </row>
    <row r="3133" spans="1:1">
      <c r="A3133" s="107"/>
    </row>
    <row r="3134" spans="1:1">
      <c r="A3134" s="107"/>
    </row>
    <row r="3135" spans="1:1">
      <c r="A3135" s="107"/>
    </row>
    <row r="3136" spans="1:1">
      <c r="A3136" s="107"/>
    </row>
    <row r="3137" spans="1:1">
      <c r="A3137" s="107"/>
    </row>
    <row r="3138" spans="1:1">
      <c r="A3138" s="107"/>
    </row>
    <row r="3139" spans="1:1">
      <c r="A3139" s="107"/>
    </row>
    <row r="3140" spans="1:1">
      <c r="A3140" s="107"/>
    </row>
    <row r="3141" spans="1:1">
      <c r="A3141" s="107"/>
    </row>
    <row r="3142" spans="1:1">
      <c r="A3142" s="107"/>
    </row>
    <row r="3143" spans="1:1">
      <c r="A3143" s="107"/>
    </row>
    <row r="3144" spans="1:1">
      <c r="A3144" s="107"/>
    </row>
    <row r="3145" spans="1:1">
      <c r="A3145" s="107"/>
    </row>
    <row r="3146" spans="1:1">
      <c r="A3146" s="107"/>
    </row>
    <row r="3147" spans="1:1">
      <c r="A3147" s="107"/>
    </row>
    <row r="3148" spans="1:1">
      <c r="A3148" s="107"/>
    </row>
    <row r="3149" spans="1:1">
      <c r="A3149" s="107"/>
    </row>
    <row r="3150" spans="1:1">
      <c r="A3150" s="107"/>
    </row>
    <row r="3151" spans="1:1">
      <c r="A3151" s="107"/>
    </row>
    <row r="3152" spans="1:1">
      <c r="A3152" s="107"/>
    </row>
    <row r="3153" spans="1:1">
      <c r="A3153" s="107"/>
    </row>
    <row r="3154" spans="1:1">
      <c r="A3154" s="107"/>
    </row>
    <row r="3155" spans="1:1">
      <c r="A3155" s="107"/>
    </row>
    <row r="3156" spans="1:1">
      <c r="A3156" s="107"/>
    </row>
    <row r="3157" spans="1:1">
      <c r="A3157" s="107"/>
    </row>
    <row r="3158" spans="1:1">
      <c r="A3158" s="107"/>
    </row>
    <row r="3159" spans="1:1">
      <c r="A3159" s="107"/>
    </row>
    <row r="3160" spans="1:1">
      <c r="A3160" s="107"/>
    </row>
    <row r="3161" spans="1:1">
      <c r="A3161" s="107"/>
    </row>
    <row r="3162" spans="1:1">
      <c r="A3162" s="107"/>
    </row>
    <row r="3163" spans="1:1">
      <c r="A3163" s="107"/>
    </row>
    <row r="3164" spans="1:1">
      <c r="A3164" s="107"/>
    </row>
    <row r="3165" spans="1:1">
      <c r="A3165" s="107"/>
    </row>
    <row r="3166" spans="1:1">
      <c r="A3166" s="107"/>
    </row>
    <row r="3167" spans="1:1">
      <c r="A3167" s="107"/>
    </row>
    <row r="3168" spans="1:1">
      <c r="A3168" s="107"/>
    </row>
    <row r="3169" spans="1:1">
      <c r="A3169" s="107"/>
    </row>
    <row r="3170" spans="1:1">
      <c r="A3170" s="107"/>
    </row>
    <row r="3171" spans="1:1">
      <c r="A3171" s="107"/>
    </row>
    <row r="3172" spans="1:1">
      <c r="A3172" s="107"/>
    </row>
    <row r="3173" spans="1:1">
      <c r="A3173" s="107"/>
    </row>
    <row r="3174" spans="1:1">
      <c r="A3174" s="107"/>
    </row>
    <row r="3175" spans="1:1">
      <c r="A3175" s="107"/>
    </row>
    <row r="3176" spans="1:1">
      <c r="A3176" s="107"/>
    </row>
    <row r="3177" spans="1:1">
      <c r="A3177" s="107"/>
    </row>
    <row r="3178" spans="1:1">
      <c r="A3178" s="107"/>
    </row>
    <row r="3179" spans="1:1">
      <c r="A3179" s="107"/>
    </row>
    <row r="3180" spans="1:1">
      <c r="A3180" s="107"/>
    </row>
    <row r="3181" spans="1:1">
      <c r="A3181" s="107"/>
    </row>
    <row r="3182" spans="1:1">
      <c r="A3182" s="107"/>
    </row>
    <row r="3183" spans="1:1">
      <c r="A3183" s="107"/>
    </row>
    <row r="3184" spans="1:1">
      <c r="A3184" s="107"/>
    </row>
    <row r="3185" spans="1:1">
      <c r="A3185" s="107"/>
    </row>
    <row r="3186" spans="1:1">
      <c r="A3186" s="107"/>
    </row>
    <row r="3187" spans="1:1">
      <c r="A3187" s="107"/>
    </row>
    <row r="3188" spans="1:1">
      <c r="A3188" s="107"/>
    </row>
    <row r="3189" spans="1:1">
      <c r="A3189" s="107"/>
    </row>
    <row r="3190" spans="1:1">
      <c r="A3190" s="107"/>
    </row>
    <row r="3191" spans="1:1">
      <c r="A3191" s="107"/>
    </row>
    <row r="3192" spans="1:1">
      <c r="A3192" s="107"/>
    </row>
    <row r="3193" spans="1:1">
      <c r="A3193" s="107"/>
    </row>
    <row r="3194" spans="1:1">
      <c r="A3194" s="107"/>
    </row>
    <row r="3195" spans="1:1">
      <c r="A3195" s="107"/>
    </row>
    <row r="3196" spans="1:1">
      <c r="A3196" s="107"/>
    </row>
    <row r="3197" spans="1:1">
      <c r="A3197" s="107"/>
    </row>
    <row r="3198" spans="1:1">
      <c r="A3198" s="107"/>
    </row>
    <row r="3199" spans="1:1">
      <c r="A3199" s="107"/>
    </row>
    <row r="3200" spans="1:1">
      <c r="A3200" s="107"/>
    </row>
    <row r="3201" spans="1:1">
      <c r="A3201" s="107"/>
    </row>
    <row r="3202" spans="1:1">
      <c r="A3202" s="107"/>
    </row>
    <row r="3203" spans="1:1">
      <c r="A3203" s="107"/>
    </row>
    <row r="3204" spans="1:1">
      <c r="A3204" s="107"/>
    </row>
    <row r="3205" spans="1:1">
      <c r="A3205" s="107"/>
    </row>
    <row r="3206" spans="1:1">
      <c r="A3206" s="107"/>
    </row>
    <row r="3207" spans="1:1">
      <c r="A3207" s="107"/>
    </row>
    <row r="3208" spans="1:1">
      <c r="A3208" s="107"/>
    </row>
    <row r="3209" spans="1:1">
      <c r="A3209" s="107"/>
    </row>
    <row r="3210" spans="1:1">
      <c r="A3210" s="107"/>
    </row>
    <row r="3211" spans="1:1">
      <c r="A3211" s="107"/>
    </row>
    <row r="3212" spans="1:1">
      <c r="A3212" s="107"/>
    </row>
    <row r="3213" spans="1:1">
      <c r="A3213" s="107"/>
    </row>
    <row r="3214" spans="1:1">
      <c r="A3214" s="107"/>
    </row>
    <row r="3215" spans="1:1">
      <c r="A3215" s="107"/>
    </row>
    <row r="3216" spans="1:1">
      <c r="A3216" s="107"/>
    </row>
    <row r="3217" spans="1:1">
      <c r="A3217" s="107"/>
    </row>
    <row r="3218" spans="1:1">
      <c r="A3218" s="107"/>
    </row>
    <row r="3219" spans="1:1">
      <c r="A3219" s="107"/>
    </row>
    <row r="3220" spans="1:1">
      <c r="A3220" s="107"/>
    </row>
    <row r="3221" spans="1:1">
      <c r="A3221" s="107"/>
    </row>
    <row r="3222" spans="1:1">
      <c r="A3222" s="107"/>
    </row>
    <row r="3223" spans="1:1">
      <c r="A3223" s="107"/>
    </row>
    <row r="3224" spans="1:1">
      <c r="A3224" s="107"/>
    </row>
    <row r="3225" spans="1:1">
      <c r="A3225" s="107"/>
    </row>
    <row r="3226" spans="1:1">
      <c r="A3226" s="107"/>
    </row>
    <row r="3227" spans="1:1">
      <c r="A3227" s="107"/>
    </row>
    <row r="3228" spans="1:1">
      <c r="A3228" s="107"/>
    </row>
    <row r="3229" spans="1:1">
      <c r="A3229" s="107"/>
    </row>
    <row r="3230" spans="1:1">
      <c r="A3230" s="107"/>
    </row>
    <row r="3231" spans="1:1">
      <c r="A3231" s="107"/>
    </row>
    <row r="3232" spans="1:1">
      <c r="A3232" s="107"/>
    </row>
    <row r="3233" spans="1:1">
      <c r="A3233" s="107"/>
    </row>
    <row r="3234" spans="1:1">
      <c r="A3234" s="107"/>
    </row>
    <row r="3235" spans="1:1">
      <c r="A3235" s="107"/>
    </row>
    <row r="3236" spans="1:1">
      <c r="A3236" s="107"/>
    </row>
    <row r="3237" spans="1:1">
      <c r="A3237" s="107"/>
    </row>
    <row r="3238" spans="1:1">
      <c r="A3238" s="107"/>
    </row>
    <row r="3239" spans="1:1">
      <c r="A3239" s="107"/>
    </row>
    <row r="3240" spans="1:1">
      <c r="A3240" s="107"/>
    </row>
    <row r="3241" spans="1:1">
      <c r="A3241" s="107"/>
    </row>
    <row r="3242" spans="1:1">
      <c r="A3242" s="107"/>
    </row>
    <row r="3243" spans="1:1">
      <c r="A3243" s="107"/>
    </row>
    <row r="3244" spans="1:1">
      <c r="A3244" s="107"/>
    </row>
    <row r="3245" spans="1:1">
      <c r="A3245" s="107"/>
    </row>
    <row r="3246" spans="1:1">
      <c r="A3246" s="107"/>
    </row>
    <row r="3247" spans="1:1">
      <c r="A3247" s="107"/>
    </row>
    <row r="3248" spans="1:1">
      <c r="A3248" s="107"/>
    </row>
    <row r="3249" spans="1:1">
      <c r="A3249" s="107"/>
    </row>
    <row r="3250" spans="1:1">
      <c r="A3250" s="107"/>
    </row>
    <row r="3251" spans="1:1">
      <c r="A3251" s="107"/>
    </row>
    <row r="3252" spans="1:1">
      <c r="A3252" s="107"/>
    </row>
    <row r="3253" spans="1:1">
      <c r="A3253" s="107"/>
    </row>
    <row r="3254" spans="1:1">
      <c r="A3254" s="107"/>
    </row>
    <row r="3255" spans="1:1">
      <c r="A3255" s="107"/>
    </row>
    <row r="3256" spans="1:1">
      <c r="A3256" s="107"/>
    </row>
    <row r="3257" spans="1:1">
      <c r="A3257" s="107"/>
    </row>
    <row r="3258" spans="1:1">
      <c r="A3258" s="107"/>
    </row>
    <row r="3259" spans="1:1">
      <c r="A3259" s="107"/>
    </row>
    <row r="3260" spans="1:1">
      <c r="A3260" s="107"/>
    </row>
    <row r="3261" spans="1:1">
      <c r="A3261" s="107"/>
    </row>
    <row r="3262" spans="1:1">
      <c r="A3262" s="107"/>
    </row>
    <row r="3263" spans="1:1">
      <c r="A3263" s="107"/>
    </row>
    <row r="3264" spans="1:1">
      <c r="A3264" s="107"/>
    </row>
    <row r="3265" spans="1:1">
      <c r="A3265" s="107"/>
    </row>
    <row r="3266" spans="1:1">
      <c r="A3266" s="107"/>
    </row>
    <row r="3267" spans="1:1">
      <c r="A3267" s="107"/>
    </row>
    <row r="3268" spans="1:1">
      <c r="A3268" s="107"/>
    </row>
    <row r="3269" spans="1:1">
      <c r="A3269" s="107"/>
    </row>
    <row r="3270" spans="1:1">
      <c r="A3270" s="107"/>
    </row>
    <row r="3271" spans="1:1">
      <c r="A3271" s="107"/>
    </row>
    <row r="3272" spans="1:1">
      <c r="A3272" s="107"/>
    </row>
    <row r="3273" spans="1:1">
      <c r="A3273" s="107"/>
    </row>
    <row r="3274" spans="1:1">
      <c r="A3274" s="107"/>
    </row>
    <row r="3275" spans="1:1">
      <c r="A3275" s="107"/>
    </row>
    <row r="3276" spans="1:1">
      <c r="A3276" s="107"/>
    </row>
    <row r="3277" spans="1:1">
      <c r="A3277" s="107"/>
    </row>
    <row r="3278" spans="1:1">
      <c r="A3278" s="107"/>
    </row>
    <row r="3279" spans="1:1">
      <c r="A3279" s="107"/>
    </row>
    <row r="3280" spans="1:1">
      <c r="A3280" s="107"/>
    </row>
    <row r="3281" spans="1:1">
      <c r="A3281" s="107"/>
    </row>
    <row r="3282" spans="1:1">
      <c r="A3282" s="107"/>
    </row>
    <row r="3283" spans="1:1">
      <c r="A3283" s="107"/>
    </row>
    <row r="3284" spans="1:1">
      <c r="A3284" s="107"/>
    </row>
    <row r="3285" spans="1:1">
      <c r="A3285" s="107"/>
    </row>
    <row r="3286" spans="1:1">
      <c r="A3286" s="107"/>
    </row>
    <row r="3287" spans="1:1">
      <c r="A3287" s="107"/>
    </row>
    <row r="3288" spans="1:1">
      <c r="A3288" s="107"/>
    </row>
    <row r="3289" spans="1:1">
      <c r="A3289" s="107"/>
    </row>
    <row r="3290" spans="1:1">
      <c r="A3290" s="107"/>
    </row>
    <row r="3291" spans="1:1">
      <c r="A3291" s="107"/>
    </row>
    <row r="3292" spans="1:1">
      <c r="A3292" s="107"/>
    </row>
    <row r="3293" spans="1:1">
      <c r="A3293" s="107"/>
    </row>
    <row r="3294" spans="1:1">
      <c r="A3294" s="107"/>
    </row>
    <row r="3295" spans="1:1">
      <c r="A3295" s="107"/>
    </row>
    <row r="3296" spans="1:1">
      <c r="A3296" s="107"/>
    </row>
    <row r="3297" spans="1:1">
      <c r="A3297" s="107"/>
    </row>
    <row r="3298" spans="1:1">
      <c r="A3298" s="107"/>
    </row>
    <row r="3299" spans="1:1">
      <c r="A3299" s="107"/>
    </row>
    <row r="3300" spans="1:1">
      <c r="A3300" s="107"/>
    </row>
    <row r="3301" spans="1:1">
      <c r="A3301" s="107"/>
    </row>
    <row r="3302" spans="1:1">
      <c r="A3302" s="107"/>
    </row>
    <row r="3303" spans="1:1">
      <c r="A3303" s="107"/>
    </row>
    <row r="3304" spans="1:1">
      <c r="A3304" s="107"/>
    </row>
    <row r="3305" spans="1:1">
      <c r="A3305" s="107"/>
    </row>
    <row r="3306" spans="1:1">
      <c r="A3306" s="107"/>
    </row>
    <row r="3307" spans="1:1">
      <c r="A3307" s="107"/>
    </row>
    <row r="3308" spans="1:1">
      <c r="A3308" s="107"/>
    </row>
    <row r="3309" spans="1:1">
      <c r="A3309" s="107"/>
    </row>
    <row r="3310" spans="1:1">
      <c r="A3310" s="107"/>
    </row>
    <row r="3311" spans="1:1">
      <c r="A3311" s="107"/>
    </row>
    <row r="3312" spans="1:1">
      <c r="A3312" s="107"/>
    </row>
    <row r="3313" spans="1:1">
      <c r="A3313" s="107"/>
    </row>
    <row r="3314" spans="1:1">
      <c r="A3314" s="107"/>
    </row>
    <row r="3315" spans="1:1">
      <c r="A3315" s="107"/>
    </row>
    <row r="3316" spans="1:1">
      <c r="A3316" s="107"/>
    </row>
    <row r="3317" spans="1:1">
      <c r="A3317" s="107"/>
    </row>
    <row r="3318" spans="1:1">
      <c r="A3318" s="107"/>
    </row>
    <row r="3319" spans="1:1">
      <c r="A3319" s="107"/>
    </row>
    <row r="3320" spans="1:1">
      <c r="A3320" s="107"/>
    </row>
    <row r="3321" spans="1:1">
      <c r="A3321" s="107"/>
    </row>
    <row r="3322" spans="1:1">
      <c r="A3322" s="107"/>
    </row>
    <row r="3323" spans="1:1">
      <c r="A3323" s="107"/>
    </row>
    <row r="3324" spans="1:1">
      <c r="A3324" s="107"/>
    </row>
    <row r="3325" spans="1:1">
      <c r="A3325" s="107"/>
    </row>
    <row r="3326" spans="1:1">
      <c r="A3326" s="107"/>
    </row>
    <row r="3327" spans="1:1">
      <c r="A3327" s="107"/>
    </row>
    <row r="3328" spans="1:1">
      <c r="A3328" s="107"/>
    </row>
    <row r="3329" spans="1:1">
      <c r="A3329" s="107"/>
    </row>
    <row r="3330" spans="1:1">
      <c r="A3330" s="107"/>
    </row>
    <row r="3331" spans="1:1">
      <c r="A3331" s="107"/>
    </row>
    <row r="3332" spans="1:1">
      <c r="A3332" s="107"/>
    </row>
    <row r="3333" spans="1:1">
      <c r="A3333" s="107"/>
    </row>
    <row r="3334" spans="1:1">
      <c r="A3334" s="107"/>
    </row>
    <row r="3335" spans="1:1">
      <c r="A3335" s="107"/>
    </row>
    <row r="3336" spans="1:1">
      <c r="A3336" s="107"/>
    </row>
    <row r="3337" spans="1:1">
      <c r="A3337" s="107"/>
    </row>
    <row r="3338" spans="1:1">
      <c r="A3338" s="107"/>
    </row>
    <row r="3339" spans="1:1">
      <c r="A3339" s="107"/>
    </row>
    <row r="3340" spans="1:1">
      <c r="A3340" s="107"/>
    </row>
    <row r="3341" spans="1:1">
      <c r="A3341" s="107"/>
    </row>
    <row r="3342" spans="1:1">
      <c r="A3342" s="107"/>
    </row>
    <row r="3343" spans="1:1">
      <c r="A3343" s="107"/>
    </row>
    <row r="3344" spans="1:1">
      <c r="A3344" s="107"/>
    </row>
    <row r="3345" spans="1:1">
      <c r="A3345" s="107"/>
    </row>
    <row r="3346" spans="1:1">
      <c r="A3346" s="107"/>
    </row>
    <row r="3347" spans="1:1">
      <c r="A3347" s="107"/>
    </row>
    <row r="3348" spans="1:1">
      <c r="A3348" s="107"/>
    </row>
    <row r="3349" spans="1:1">
      <c r="A3349" s="107"/>
    </row>
    <row r="3350" spans="1:1">
      <c r="A3350" s="107"/>
    </row>
    <row r="3351" spans="1:1">
      <c r="A3351" s="107"/>
    </row>
    <row r="3352" spans="1:1">
      <c r="A3352" s="107"/>
    </row>
    <row r="3353" spans="1:1">
      <c r="A3353" s="107"/>
    </row>
    <row r="3354" spans="1:1">
      <c r="A3354" s="107"/>
    </row>
    <row r="3355" spans="1:1">
      <c r="A3355" s="107"/>
    </row>
    <row r="3356" spans="1:1">
      <c r="A3356" s="107"/>
    </row>
    <row r="3357" spans="1:1">
      <c r="A3357" s="107"/>
    </row>
    <row r="3358" spans="1:1">
      <c r="A3358" s="107"/>
    </row>
    <row r="3359" spans="1:1">
      <c r="A3359" s="107"/>
    </row>
    <row r="3360" spans="1:1">
      <c r="A3360" s="107"/>
    </row>
    <row r="3361" spans="1:1">
      <c r="A3361" s="107"/>
    </row>
    <row r="3362" spans="1:1">
      <c r="A3362" s="107"/>
    </row>
    <row r="3363" spans="1:1">
      <c r="A3363" s="107"/>
    </row>
    <row r="3364" spans="1:1">
      <c r="A3364" s="107"/>
    </row>
    <row r="3365" spans="1:1">
      <c r="A3365" s="107"/>
    </row>
    <row r="3366" spans="1:1">
      <c r="A3366" s="107"/>
    </row>
    <row r="3367" spans="1:1">
      <c r="A3367" s="107"/>
    </row>
    <row r="3368" spans="1:1">
      <c r="A3368" s="107"/>
    </row>
    <row r="3369" spans="1:1">
      <c r="A3369" s="107"/>
    </row>
    <row r="3370" spans="1:1">
      <c r="A3370" s="107"/>
    </row>
    <row r="3371" spans="1:1">
      <c r="A3371" s="107"/>
    </row>
    <row r="3372" spans="1:1">
      <c r="A3372" s="107"/>
    </row>
    <row r="3373" spans="1:1">
      <c r="A3373" s="107"/>
    </row>
    <row r="3374" spans="1:1">
      <c r="A3374" s="107"/>
    </row>
    <row r="3375" spans="1:1">
      <c r="A3375" s="107"/>
    </row>
    <row r="3376" spans="1:1">
      <c r="A3376" s="107"/>
    </row>
    <row r="3377" spans="1:1">
      <c r="A3377" s="107"/>
    </row>
    <row r="3378" spans="1:1">
      <c r="A3378" s="107"/>
    </row>
    <row r="3379" spans="1:1">
      <c r="A3379" s="107"/>
    </row>
    <row r="3380" spans="1:1">
      <c r="A3380" s="107"/>
    </row>
    <row r="3381" spans="1:1">
      <c r="A3381" s="107"/>
    </row>
    <row r="3382" spans="1:1">
      <c r="A3382" s="107"/>
    </row>
    <row r="3383" spans="1:1">
      <c r="A3383" s="107"/>
    </row>
    <row r="3384" spans="1:1">
      <c r="A3384" s="107"/>
    </row>
    <row r="3385" spans="1:1">
      <c r="A3385" s="107"/>
    </row>
    <row r="3386" spans="1:1">
      <c r="A3386" s="107"/>
    </row>
    <row r="3387" spans="1:1">
      <c r="A3387" s="107"/>
    </row>
    <row r="3388" spans="1:1">
      <c r="A3388" s="107"/>
    </row>
    <row r="3389" spans="1:1">
      <c r="A3389" s="107"/>
    </row>
    <row r="3390" spans="1:1">
      <c r="A3390" s="107"/>
    </row>
    <row r="3391" spans="1:1">
      <c r="A3391" s="107"/>
    </row>
    <row r="3392" spans="1:1">
      <c r="A3392" s="107"/>
    </row>
    <row r="3393" spans="1:1">
      <c r="A3393" s="107"/>
    </row>
    <row r="3394" spans="1:1">
      <c r="A3394" s="107"/>
    </row>
    <row r="3395" spans="1:1">
      <c r="A3395" s="107"/>
    </row>
    <row r="3396" spans="1:1">
      <c r="A3396" s="107"/>
    </row>
    <row r="3397" spans="1:1">
      <c r="A3397" s="107"/>
    </row>
    <row r="3398" spans="1:1">
      <c r="A3398" s="107"/>
    </row>
    <row r="3399" spans="1:1">
      <c r="A3399" s="107"/>
    </row>
    <row r="3400" spans="1:1">
      <c r="A3400" s="107"/>
    </row>
    <row r="3401" spans="1:1">
      <c r="A3401" s="107"/>
    </row>
    <row r="3402" spans="1:1">
      <c r="A3402" s="107"/>
    </row>
    <row r="3403" spans="1:1">
      <c r="A3403" s="107"/>
    </row>
  </sheetData>
  <mergeCells count="626">
    <mergeCell ref="B27:B31"/>
    <mergeCell ref="K27:L27"/>
    <mergeCell ref="K28:L28"/>
    <mergeCell ref="K29:L29"/>
    <mergeCell ref="K30:L30"/>
    <mergeCell ref="B32:B36"/>
    <mergeCell ref="BM3:BM4"/>
    <mergeCell ref="B12:B16"/>
    <mergeCell ref="B17:B21"/>
    <mergeCell ref="B22:B26"/>
    <mergeCell ref="O22:P22"/>
    <mergeCell ref="O23:P23"/>
    <mergeCell ref="O24:P24"/>
    <mergeCell ref="O25:P25"/>
    <mergeCell ref="K26:L26"/>
    <mergeCell ref="O26:P26"/>
    <mergeCell ref="B67:B71"/>
    <mergeCell ref="B72:B76"/>
    <mergeCell ref="B77:B81"/>
    <mergeCell ref="B82:B86"/>
    <mergeCell ref="B87:B91"/>
    <mergeCell ref="B92:B96"/>
    <mergeCell ref="B37:B41"/>
    <mergeCell ref="B42:B46"/>
    <mergeCell ref="B47:B51"/>
    <mergeCell ref="B52:B56"/>
    <mergeCell ref="B57:B61"/>
    <mergeCell ref="B62:B66"/>
    <mergeCell ref="B127:B131"/>
    <mergeCell ref="B132:B136"/>
    <mergeCell ref="B137:B141"/>
    <mergeCell ref="B142:B146"/>
    <mergeCell ref="B147:B151"/>
    <mergeCell ref="B152:B156"/>
    <mergeCell ref="B97:B101"/>
    <mergeCell ref="B102:B106"/>
    <mergeCell ref="B107:B111"/>
    <mergeCell ref="B112:B116"/>
    <mergeCell ref="B117:B121"/>
    <mergeCell ref="B122:B126"/>
    <mergeCell ref="B187:B191"/>
    <mergeCell ref="B192:B196"/>
    <mergeCell ref="B197:B201"/>
    <mergeCell ref="B202:B206"/>
    <mergeCell ref="B207:B211"/>
    <mergeCell ref="B212:B216"/>
    <mergeCell ref="B157:B161"/>
    <mergeCell ref="B162:B166"/>
    <mergeCell ref="B167:B171"/>
    <mergeCell ref="B172:B176"/>
    <mergeCell ref="B177:B181"/>
    <mergeCell ref="B182:B186"/>
    <mergeCell ref="B247:B251"/>
    <mergeCell ref="B252:B256"/>
    <mergeCell ref="B257:B261"/>
    <mergeCell ref="B262:B266"/>
    <mergeCell ref="B267:B271"/>
    <mergeCell ref="B272:B276"/>
    <mergeCell ref="B217:B221"/>
    <mergeCell ref="B222:B226"/>
    <mergeCell ref="B227:B231"/>
    <mergeCell ref="B232:B236"/>
    <mergeCell ref="B237:B241"/>
    <mergeCell ref="B242:B24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367:B371"/>
    <mergeCell ref="B372:B376"/>
    <mergeCell ref="B377:B381"/>
    <mergeCell ref="B382:B386"/>
    <mergeCell ref="B387:B391"/>
    <mergeCell ref="B392:B396"/>
    <mergeCell ref="B337:B341"/>
    <mergeCell ref="B342:B346"/>
    <mergeCell ref="B347:B351"/>
    <mergeCell ref="B352:B356"/>
    <mergeCell ref="B357:B361"/>
    <mergeCell ref="B362:B366"/>
    <mergeCell ref="B427:B431"/>
    <mergeCell ref="B432:B436"/>
    <mergeCell ref="B437:B441"/>
    <mergeCell ref="B442:B446"/>
    <mergeCell ref="B447:B451"/>
    <mergeCell ref="B452:B456"/>
    <mergeCell ref="B397:B401"/>
    <mergeCell ref="B402:B406"/>
    <mergeCell ref="B407:B411"/>
    <mergeCell ref="B412:B416"/>
    <mergeCell ref="B417:B421"/>
    <mergeCell ref="B422:B426"/>
    <mergeCell ref="B487:B491"/>
    <mergeCell ref="B492:B496"/>
    <mergeCell ref="B497:B501"/>
    <mergeCell ref="B502:B506"/>
    <mergeCell ref="B507:B511"/>
    <mergeCell ref="B512:B516"/>
    <mergeCell ref="B457:B461"/>
    <mergeCell ref="B462:B466"/>
    <mergeCell ref="B467:B471"/>
    <mergeCell ref="B472:B476"/>
    <mergeCell ref="B477:B481"/>
    <mergeCell ref="B482:B486"/>
    <mergeCell ref="B547:B551"/>
    <mergeCell ref="B552:B556"/>
    <mergeCell ref="B557:B561"/>
    <mergeCell ref="B562:B566"/>
    <mergeCell ref="B567:B571"/>
    <mergeCell ref="B572:B576"/>
    <mergeCell ref="B517:B521"/>
    <mergeCell ref="B522:B526"/>
    <mergeCell ref="B527:B531"/>
    <mergeCell ref="B532:B536"/>
    <mergeCell ref="B537:B541"/>
    <mergeCell ref="B542:B546"/>
    <mergeCell ref="B607:B611"/>
    <mergeCell ref="B612:B616"/>
    <mergeCell ref="B617:B621"/>
    <mergeCell ref="B622:B626"/>
    <mergeCell ref="B627:B631"/>
    <mergeCell ref="B632:B636"/>
    <mergeCell ref="B577:B581"/>
    <mergeCell ref="B582:B586"/>
    <mergeCell ref="B587:B591"/>
    <mergeCell ref="B592:B596"/>
    <mergeCell ref="B597:B601"/>
    <mergeCell ref="B602:B606"/>
    <mergeCell ref="B667:B671"/>
    <mergeCell ref="B672:B676"/>
    <mergeCell ref="B677:B681"/>
    <mergeCell ref="B682:B686"/>
    <mergeCell ref="B687:B691"/>
    <mergeCell ref="B692:B696"/>
    <mergeCell ref="B637:B641"/>
    <mergeCell ref="B642:B646"/>
    <mergeCell ref="B647:B651"/>
    <mergeCell ref="B652:B656"/>
    <mergeCell ref="B657:B661"/>
    <mergeCell ref="B662:B666"/>
    <mergeCell ref="B727:B731"/>
    <mergeCell ref="B732:B736"/>
    <mergeCell ref="B737:B741"/>
    <mergeCell ref="B742:B746"/>
    <mergeCell ref="B747:B751"/>
    <mergeCell ref="B752:B756"/>
    <mergeCell ref="B697:B701"/>
    <mergeCell ref="B702:B706"/>
    <mergeCell ref="B707:B711"/>
    <mergeCell ref="B712:B716"/>
    <mergeCell ref="B717:B721"/>
    <mergeCell ref="B722:B726"/>
    <mergeCell ref="B787:B791"/>
    <mergeCell ref="B792:B796"/>
    <mergeCell ref="B797:B801"/>
    <mergeCell ref="B802:B806"/>
    <mergeCell ref="B807:B811"/>
    <mergeCell ref="B812:B816"/>
    <mergeCell ref="B757:B761"/>
    <mergeCell ref="B762:B766"/>
    <mergeCell ref="B767:B771"/>
    <mergeCell ref="B772:B776"/>
    <mergeCell ref="B777:B781"/>
    <mergeCell ref="B782:B786"/>
    <mergeCell ref="B847:B851"/>
    <mergeCell ref="B852:B856"/>
    <mergeCell ref="B857:B861"/>
    <mergeCell ref="B862:B866"/>
    <mergeCell ref="B867:B871"/>
    <mergeCell ref="B872:B876"/>
    <mergeCell ref="B817:B821"/>
    <mergeCell ref="B822:B826"/>
    <mergeCell ref="B827:B831"/>
    <mergeCell ref="B832:B836"/>
    <mergeCell ref="B837:B841"/>
    <mergeCell ref="B842:B846"/>
    <mergeCell ref="B907:B911"/>
    <mergeCell ref="B912:B916"/>
    <mergeCell ref="B917:B921"/>
    <mergeCell ref="B922:B926"/>
    <mergeCell ref="B927:B931"/>
    <mergeCell ref="B932:B936"/>
    <mergeCell ref="B877:B881"/>
    <mergeCell ref="B882:B886"/>
    <mergeCell ref="B887:B891"/>
    <mergeCell ref="B892:B896"/>
    <mergeCell ref="B897:B901"/>
    <mergeCell ref="B902:B906"/>
    <mergeCell ref="B967:B971"/>
    <mergeCell ref="B972:B976"/>
    <mergeCell ref="B977:B981"/>
    <mergeCell ref="B982:B986"/>
    <mergeCell ref="B987:B991"/>
    <mergeCell ref="B992:B996"/>
    <mergeCell ref="B937:B941"/>
    <mergeCell ref="B942:B946"/>
    <mergeCell ref="B947:B951"/>
    <mergeCell ref="B952:B956"/>
    <mergeCell ref="B957:B961"/>
    <mergeCell ref="B962:B966"/>
    <mergeCell ref="B1027:B1031"/>
    <mergeCell ref="B1032:B1036"/>
    <mergeCell ref="B1037:B1041"/>
    <mergeCell ref="B1042:B1046"/>
    <mergeCell ref="B1047:B1051"/>
    <mergeCell ref="B1052:B1056"/>
    <mergeCell ref="B997:B1001"/>
    <mergeCell ref="B1002:B1006"/>
    <mergeCell ref="B1007:B1011"/>
    <mergeCell ref="B1012:B1016"/>
    <mergeCell ref="B1017:B1021"/>
    <mergeCell ref="B1022:B1026"/>
    <mergeCell ref="B1087:B1091"/>
    <mergeCell ref="B1092:B1096"/>
    <mergeCell ref="B1097:B1101"/>
    <mergeCell ref="B1102:B1106"/>
    <mergeCell ref="B1107:B1111"/>
    <mergeCell ref="B1112:B1116"/>
    <mergeCell ref="B1057:B1061"/>
    <mergeCell ref="B1062:B1066"/>
    <mergeCell ref="B1067:B1071"/>
    <mergeCell ref="B1072:B1076"/>
    <mergeCell ref="B1077:B1081"/>
    <mergeCell ref="B1082:B1086"/>
    <mergeCell ref="B1147:B1151"/>
    <mergeCell ref="B1152:B1156"/>
    <mergeCell ref="B1157:B1161"/>
    <mergeCell ref="B1162:B1166"/>
    <mergeCell ref="B1167:B1171"/>
    <mergeCell ref="B1172:B1176"/>
    <mergeCell ref="B1117:B1121"/>
    <mergeCell ref="B1122:B1126"/>
    <mergeCell ref="B1127:B1131"/>
    <mergeCell ref="B1132:B1136"/>
    <mergeCell ref="B1137:B1141"/>
    <mergeCell ref="B1142:B1146"/>
    <mergeCell ref="B1207:B1211"/>
    <mergeCell ref="B1212:B1216"/>
    <mergeCell ref="B1217:B1221"/>
    <mergeCell ref="B1222:B1226"/>
    <mergeCell ref="B1227:B1231"/>
    <mergeCell ref="B1232:B1236"/>
    <mergeCell ref="B1177:B1181"/>
    <mergeCell ref="B1182:B1186"/>
    <mergeCell ref="B1187:B1191"/>
    <mergeCell ref="B1192:B1196"/>
    <mergeCell ref="B1197:B1201"/>
    <mergeCell ref="B1202:B1206"/>
    <mergeCell ref="B1267:B1271"/>
    <mergeCell ref="B1272:B1276"/>
    <mergeCell ref="B1277:B1281"/>
    <mergeCell ref="B1282:B1286"/>
    <mergeCell ref="B1287:B1291"/>
    <mergeCell ref="B1292:B1296"/>
    <mergeCell ref="B1237:B1241"/>
    <mergeCell ref="B1242:B1246"/>
    <mergeCell ref="B1247:B1251"/>
    <mergeCell ref="B1252:B1256"/>
    <mergeCell ref="B1257:B1261"/>
    <mergeCell ref="B1262:B1266"/>
    <mergeCell ref="B1327:B1331"/>
    <mergeCell ref="B1332:B1336"/>
    <mergeCell ref="B1337:B1341"/>
    <mergeCell ref="B1342:B1346"/>
    <mergeCell ref="B1347:B1351"/>
    <mergeCell ref="B1352:B1356"/>
    <mergeCell ref="B1297:B1301"/>
    <mergeCell ref="B1302:B1306"/>
    <mergeCell ref="B1307:B1311"/>
    <mergeCell ref="B1312:B1316"/>
    <mergeCell ref="B1317:B1321"/>
    <mergeCell ref="B1322:B1326"/>
    <mergeCell ref="B1387:B1391"/>
    <mergeCell ref="B1392:B1396"/>
    <mergeCell ref="B1397:B1401"/>
    <mergeCell ref="B1402:B1406"/>
    <mergeCell ref="B1407:B1411"/>
    <mergeCell ref="B1412:B1416"/>
    <mergeCell ref="B1357:B1361"/>
    <mergeCell ref="B1362:B1366"/>
    <mergeCell ref="B1367:B1371"/>
    <mergeCell ref="B1372:B1376"/>
    <mergeCell ref="B1377:B1381"/>
    <mergeCell ref="B1382:B1386"/>
    <mergeCell ref="B1447:B1451"/>
    <mergeCell ref="B1452:B1456"/>
    <mergeCell ref="B1457:B1461"/>
    <mergeCell ref="B1462:B1466"/>
    <mergeCell ref="B1467:B1471"/>
    <mergeCell ref="B1472:B1476"/>
    <mergeCell ref="B1417:B1421"/>
    <mergeCell ref="B1422:B1426"/>
    <mergeCell ref="B1427:B1431"/>
    <mergeCell ref="B1432:B1436"/>
    <mergeCell ref="B1437:B1441"/>
    <mergeCell ref="B1442:B1446"/>
    <mergeCell ref="B1507:B1511"/>
    <mergeCell ref="B1512:B1516"/>
    <mergeCell ref="B1517:B1521"/>
    <mergeCell ref="B1522:B1526"/>
    <mergeCell ref="B1527:B1531"/>
    <mergeCell ref="B1532:B1536"/>
    <mergeCell ref="B1477:B1481"/>
    <mergeCell ref="B1482:B1486"/>
    <mergeCell ref="B1487:B1491"/>
    <mergeCell ref="B1492:B1496"/>
    <mergeCell ref="B1497:B1501"/>
    <mergeCell ref="B1502:B1506"/>
    <mergeCell ref="B1567:B1571"/>
    <mergeCell ref="B1572:B1576"/>
    <mergeCell ref="B1577:B1581"/>
    <mergeCell ref="B1582:B1586"/>
    <mergeCell ref="B1587:B1591"/>
    <mergeCell ref="B1592:B1596"/>
    <mergeCell ref="B1537:B1541"/>
    <mergeCell ref="B1542:B1546"/>
    <mergeCell ref="B1547:B1551"/>
    <mergeCell ref="B1552:B1556"/>
    <mergeCell ref="B1557:B1561"/>
    <mergeCell ref="B1562:B1566"/>
    <mergeCell ref="B1627:B1631"/>
    <mergeCell ref="B1632:B1636"/>
    <mergeCell ref="B1637:B1641"/>
    <mergeCell ref="B1642:B1646"/>
    <mergeCell ref="B1647:B1651"/>
    <mergeCell ref="B1652:B1656"/>
    <mergeCell ref="B1597:B1601"/>
    <mergeCell ref="B1602:B1606"/>
    <mergeCell ref="B1607:B1611"/>
    <mergeCell ref="B1612:B1616"/>
    <mergeCell ref="B1617:B1621"/>
    <mergeCell ref="B1622:B1626"/>
    <mergeCell ref="B1687:B1691"/>
    <mergeCell ref="B1692:B1696"/>
    <mergeCell ref="B1697:B1701"/>
    <mergeCell ref="B1702:B1706"/>
    <mergeCell ref="B1707:B1711"/>
    <mergeCell ref="B1712:B1716"/>
    <mergeCell ref="B1657:B1661"/>
    <mergeCell ref="B1662:B1666"/>
    <mergeCell ref="B1667:B1671"/>
    <mergeCell ref="B1672:B1676"/>
    <mergeCell ref="B1677:B1681"/>
    <mergeCell ref="B1682:B1686"/>
    <mergeCell ref="B1747:B1751"/>
    <mergeCell ref="B1752:B1756"/>
    <mergeCell ref="B1757:B1761"/>
    <mergeCell ref="B1762:B1766"/>
    <mergeCell ref="B1767:B1771"/>
    <mergeCell ref="B1772:B1776"/>
    <mergeCell ref="B1717:B1721"/>
    <mergeCell ref="B1722:B1726"/>
    <mergeCell ref="B1727:B1731"/>
    <mergeCell ref="B1732:B1736"/>
    <mergeCell ref="B1737:B1741"/>
    <mergeCell ref="B1742:B1746"/>
    <mergeCell ref="B1807:B1811"/>
    <mergeCell ref="B1812:B1816"/>
    <mergeCell ref="B1817:B1821"/>
    <mergeCell ref="B1822:B1826"/>
    <mergeCell ref="B1827:B1831"/>
    <mergeCell ref="B1832:B1836"/>
    <mergeCell ref="B1777:B1781"/>
    <mergeCell ref="B1782:B1786"/>
    <mergeCell ref="B1787:B1791"/>
    <mergeCell ref="B1792:B1796"/>
    <mergeCell ref="B1797:B1801"/>
    <mergeCell ref="B1802:B1806"/>
    <mergeCell ref="B1867:B1871"/>
    <mergeCell ref="B1872:B1876"/>
    <mergeCell ref="B1877:B1881"/>
    <mergeCell ref="B1882:B1886"/>
    <mergeCell ref="B1887:B1891"/>
    <mergeCell ref="B1892:B1896"/>
    <mergeCell ref="B1837:B1841"/>
    <mergeCell ref="B1842:B1846"/>
    <mergeCell ref="B1847:B1851"/>
    <mergeCell ref="B1852:B1856"/>
    <mergeCell ref="B1857:B1861"/>
    <mergeCell ref="B1862:B1866"/>
    <mergeCell ref="B1927:B1931"/>
    <mergeCell ref="B1932:B1936"/>
    <mergeCell ref="B1937:B1941"/>
    <mergeCell ref="B1942:B1946"/>
    <mergeCell ref="B1947:B1951"/>
    <mergeCell ref="B1952:B1956"/>
    <mergeCell ref="B1897:B1901"/>
    <mergeCell ref="B1902:B1906"/>
    <mergeCell ref="B1907:B1911"/>
    <mergeCell ref="B1912:B1916"/>
    <mergeCell ref="B1917:B1921"/>
    <mergeCell ref="B1922:B1926"/>
    <mergeCell ref="B1987:B1991"/>
    <mergeCell ref="B1992:B1996"/>
    <mergeCell ref="B1997:B2001"/>
    <mergeCell ref="B2002:B2006"/>
    <mergeCell ref="B2007:B2011"/>
    <mergeCell ref="B2012:B2016"/>
    <mergeCell ref="B1957:B1961"/>
    <mergeCell ref="B1962:B1966"/>
    <mergeCell ref="B1967:B1971"/>
    <mergeCell ref="B1972:B1976"/>
    <mergeCell ref="B1977:B1981"/>
    <mergeCell ref="B1982:B1986"/>
    <mergeCell ref="B2047:B2051"/>
    <mergeCell ref="B2052:B2056"/>
    <mergeCell ref="B2057:B2061"/>
    <mergeCell ref="B2062:B2066"/>
    <mergeCell ref="B2067:B2071"/>
    <mergeCell ref="B2072:B2076"/>
    <mergeCell ref="B2017:B2021"/>
    <mergeCell ref="B2022:B2026"/>
    <mergeCell ref="B2027:B2031"/>
    <mergeCell ref="B2032:B2036"/>
    <mergeCell ref="B2037:B2041"/>
    <mergeCell ref="B2042:B2046"/>
    <mergeCell ref="B2107:B2111"/>
    <mergeCell ref="B2112:B2116"/>
    <mergeCell ref="B2117:B2121"/>
    <mergeCell ref="B2122:B2126"/>
    <mergeCell ref="B2127:B2131"/>
    <mergeCell ref="B2132:B2136"/>
    <mergeCell ref="B2077:B2081"/>
    <mergeCell ref="B2082:B2086"/>
    <mergeCell ref="B2087:B2091"/>
    <mergeCell ref="B2092:B2096"/>
    <mergeCell ref="B2097:B2101"/>
    <mergeCell ref="B2102:B2106"/>
    <mergeCell ref="B2167:B2171"/>
    <mergeCell ref="B2172:B2176"/>
    <mergeCell ref="B2177:B2181"/>
    <mergeCell ref="B2182:B2186"/>
    <mergeCell ref="B2187:B2191"/>
    <mergeCell ref="B2192:B2196"/>
    <mergeCell ref="B2137:B2141"/>
    <mergeCell ref="B2142:B2146"/>
    <mergeCell ref="B2147:B2151"/>
    <mergeCell ref="B2152:B2156"/>
    <mergeCell ref="B2157:B2161"/>
    <mergeCell ref="B2162:B2166"/>
    <mergeCell ref="B2227:B2231"/>
    <mergeCell ref="B2232:B2236"/>
    <mergeCell ref="B2237:B2241"/>
    <mergeCell ref="B2242:B2246"/>
    <mergeCell ref="B2247:B2251"/>
    <mergeCell ref="B2252:B2256"/>
    <mergeCell ref="B2197:B2201"/>
    <mergeCell ref="B2202:B2206"/>
    <mergeCell ref="B2207:B2211"/>
    <mergeCell ref="B2212:B2216"/>
    <mergeCell ref="B2217:B2221"/>
    <mergeCell ref="B2222:B2226"/>
    <mergeCell ref="B2287:B2291"/>
    <mergeCell ref="B2292:B2296"/>
    <mergeCell ref="B2297:B2301"/>
    <mergeCell ref="B2302:B2306"/>
    <mergeCell ref="B2307:B2311"/>
    <mergeCell ref="B2312:B2316"/>
    <mergeCell ref="B2257:B2261"/>
    <mergeCell ref="B2262:B2266"/>
    <mergeCell ref="B2267:B2271"/>
    <mergeCell ref="B2272:B2276"/>
    <mergeCell ref="B2277:B2281"/>
    <mergeCell ref="B2282:B2286"/>
    <mergeCell ref="B2347:B2351"/>
    <mergeCell ref="B2352:B2356"/>
    <mergeCell ref="B2357:B2361"/>
    <mergeCell ref="B2362:B2366"/>
    <mergeCell ref="B2367:B2371"/>
    <mergeCell ref="B2372:B2376"/>
    <mergeCell ref="B2317:B2321"/>
    <mergeCell ref="B2322:B2326"/>
    <mergeCell ref="B2327:B2331"/>
    <mergeCell ref="B2332:B2336"/>
    <mergeCell ref="B2337:B2341"/>
    <mergeCell ref="B2342:B2346"/>
    <mergeCell ref="B2407:B2411"/>
    <mergeCell ref="B2412:B2416"/>
    <mergeCell ref="B2417:B2421"/>
    <mergeCell ref="B2422:B2426"/>
    <mergeCell ref="B2427:B2431"/>
    <mergeCell ref="B2432:B2436"/>
    <mergeCell ref="B2377:B2381"/>
    <mergeCell ref="B2382:B2386"/>
    <mergeCell ref="B2387:B2391"/>
    <mergeCell ref="B2392:B2396"/>
    <mergeCell ref="B2397:B2401"/>
    <mergeCell ref="B2402:B2406"/>
    <mergeCell ref="B2467:B2471"/>
    <mergeCell ref="B2472:B2476"/>
    <mergeCell ref="B2477:B2481"/>
    <mergeCell ref="B2482:B2486"/>
    <mergeCell ref="B2487:B2491"/>
    <mergeCell ref="B2492:B2496"/>
    <mergeCell ref="B2437:B2441"/>
    <mergeCell ref="B2442:B2446"/>
    <mergeCell ref="B2447:B2451"/>
    <mergeCell ref="B2452:B2456"/>
    <mergeCell ref="B2457:B2461"/>
    <mergeCell ref="B2462:B2466"/>
    <mergeCell ref="B2527:B2531"/>
    <mergeCell ref="B2532:B2536"/>
    <mergeCell ref="B2537:B2541"/>
    <mergeCell ref="B2542:B2546"/>
    <mergeCell ref="B2547:B2551"/>
    <mergeCell ref="B2552:B2556"/>
    <mergeCell ref="B2497:B2501"/>
    <mergeCell ref="B2502:B2506"/>
    <mergeCell ref="B2507:B2511"/>
    <mergeCell ref="B2512:B2516"/>
    <mergeCell ref="B2517:B2521"/>
    <mergeCell ref="B2522:B2526"/>
    <mergeCell ref="B2587:B2591"/>
    <mergeCell ref="B2592:B2596"/>
    <mergeCell ref="B2597:B2601"/>
    <mergeCell ref="B2602:B2606"/>
    <mergeCell ref="B2607:B2611"/>
    <mergeCell ref="B2612:B2616"/>
    <mergeCell ref="B2557:B2561"/>
    <mergeCell ref="B2562:B2566"/>
    <mergeCell ref="B2567:B2571"/>
    <mergeCell ref="B2572:B2576"/>
    <mergeCell ref="B2577:B2581"/>
    <mergeCell ref="B2582:B2586"/>
    <mergeCell ref="B2647:B2651"/>
    <mergeCell ref="B2652:B2656"/>
    <mergeCell ref="B2657:B2661"/>
    <mergeCell ref="B2662:B2666"/>
    <mergeCell ref="B2667:B2671"/>
    <mergeCell ref="B2672:B2676"/>
    <mergeCell ref="B2617:B2621"/>
    <mergeCell ref="B2622:B2626"/>
    <mergeCell ref="B2627:B2631"/>
    <mergeCell ref="B2632:B2636"/>
    <mergeCell ref="B2637:B2641"/>
    <mergeCell ref="B2642:B2646"/>
    <mergeCell ref="B2707:B2711"/>
    <mergeCell ref="B2712:B2716"/>
    <mergeCell ref="B2717:B2721"/>
    <mergeCell ref="B2722:B2726"/>
    <mergeCell ref="B2727:B2731"/>
    <mergeCell ref="B2732:B2736"/>
    <mergeCell ref="B2677:B2681"/>
    <mergeCell ref="B2682:B2686"/>
    <mergeCell ref="B2687:B2691"/>
    <mergeCell ref="B2692:B2696"/>
    <mergeCell ref="B2697:B2701"/>
    <mergeCell ref="B2702:B2706"/>
    <mergeCell ref="B2767:B2771"/>
    <mergeCell ref="B2772:B2776"/>
    <mergeCell ref="B2777:B2781"/>
    <mergeCell ref="B2782:B2786"/>
    <mergeCell ref="B2787:B2791"/>
    <mergeCell ref="B2792:B2796"/>
    <mergeCell ref="B2737:B2741"/>
    <mergeCell ref="B2742:B2746"/>
    <mergeCell ref="B2747:B2751"/>
    <mergeCell ref="B2752:B2756"/>
    <mergeCell ref="B2757:B2761"/>
    <mergeCell ref="B2762:B2766"/>
    <mergeCell ref="B2827:B2831"/>
    <mergeCell ref="B2832:B2836"/>
    <mergeCell ref="B2837:B2841"/>
    <mergeCell ref="B2842:B2846"/>
    <mergeCell ref="B2847:B2851"/>
    <mergeCell ref="B2852:B2856"/>
    <mergeCell ref="B2797:B2801"/>
    <mergeCell ref="B2802:B2806"/>
    <mergeCell ref="B2807:B2811"/>
    <mergeCell ref="B2812:B2816"/>
    <mergeCell ref="B2817:B2821"/>
    <mergeCell ref="B2822:B2826"/>
    <mergeCell ref="B2887:B2891"/>
    <mergeCell ref="B2892:B2896"/>
    <mergeCell ref="B2897:B2901"/>
    <mergeCell ref="B2902:B2906"/>
    <mergeCell ref="B2907:B2911"/>
    <mergeCell ref="B2912:B2916"/>
    <mergeCell ref="B2857:B2861"/>
    <mergeCell ref="B2862:B2866"/>
    <mergeCell ref="B2867:B2871"/>
    <mergeCell ref="B2872:B2876"/>
    <mergeCell ref="B2877:B2881"/>
    <mergeCell ref="B2882:B2886"/>
    <mergeCell ref="B2947:B2951"/>
    <mergeCell ref="B2952:B2956"/>
    <mergeCell ref="B2957:B2961"/>
    <mergeCell ref="B2962:B2966"/>
    <mergeCell ref="B2967:B2971"/>
    <mergeCell ref="B2972:B2976"/>
    <mergeCell ref="B2917:B2921"/>
    <mergeCell ref="B2922:B2926"/>
    <mergeCell ref="B2927:B2931"/>
    <mergeCell ref="B2932:B2936"/>
    <mergeCell ref="B2937:B2941"/>
    <mergeCell ref="B2942:B2946"/>
    <mergeCell ref="B3007:B3011"/>
    <mergeCell ref="B3012:B3016"/>
    <mergeCell ref="B3017:B3021"/>
    <mergeCell ref="B3022:B3026"/>
    <mergeCell ref="B3027:B3031"/>
    <mergeCell ref="B3032:B3036"/>
    <mergeCell ref="B2977:B2981"/>
    <mergeCell ref="B2982:B2986"/>
    <mergeCell ref="B2987:B2991"/>
    <mergeCell ref="B2992:B2996"/>
    <mergeCell ref="B2997:B3001"/>
    <mergeCell ref="B3002:B3006"/>
    <mergeCell ref="B3067:B3071"/>
    <mergeCell ref="B3072:B3076"/>
    <mergeCell ref="B3077:B3081"/>
    <mergeCell ref="B3082:B3086"/>
    <mergeCell ref="B3037:B3041"/>
    <mergeCell ref="B3042:B3046"/>
    <mergeCell ref="B3047:B3051"/>
    <mergeCell ref="B3052:B3056"/>
    <mergeCell ref="B3057:B3061"/>
    <mergeCell ref="B3062:B306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B19" zoomScaleNormal="100" workbookViewId="0">
      <selection activeCell="E55" sqref="E55"/>
    </sheetView>
  </sheetViews>
  <sheetFormatPr defaultRowHeight="15"/>
  <cols>
    <col min="1" max="1" width="9.140625" style="239"/>
    <col min="2" max="2" width="19.85546875" style="239" customWidth="1"/>
    <col min="3" max="3" width="12.85546875" style="239" customWidth="1"/>
    <col min="4" max="4" width="26.28515625" style="239" customWidth="1"/>
    <col min="5" max="6" width="13.140625" style="239" bestFit="1" customWidth="1"/>
    <col min="7" max="7" width="60.42578125" style="239" customWidth="1"/>
    <col min="8" max="8" width="15.42578125" style="239" customWidth="1"/>
    <col min="9" max="9" width="14" style="239" customWidth="1"/>
    <col min="10" max="10" width="13.5703125" style="239" bestFit="1" customWidth="1"/>
    <col min="11" max="16384" width="9.140625" style="239"/>
  </cols>
  <sheetData>
    <row r="1" spans="2:8" ht="66.75" customHeight="1">
      <c r="B1" s="1339" t="s">
        <v>1599</v>
      </c>
      <c r="C1" s="1339"/>
      <c r="D1" s="1339"/>
    </row>
    <row r="2" spans="2:8">
      <c r="D2" s="239" t="s">
        <v>1577</v>
      </c>
    </row>
    <row r="3" spans="2:8">
      <c r="B3" s="1340" t="s">
        <v>1578</v>
      </c>
      <c r="C3" s="1342">
        <v>2015</v>
      </c>
      <c r="D3" s="1342"/>
    </row>
    <row r="4" spans="2:8">
      <c r="B4" s="1341"/>
      <c r="C4" s="240" t="s">
        <v>1579</v>
      </c>
      <c r="D4" s="240" t="s">
        <v>1580</v>
      </c>
    </row>
    <row r="5" spans="2:8">
      <c r="B5" s="241" t="s">
        <v>1581</v>
      </c>
      <c r="C5" s="242">
        <f t="shared" ref="C5:D5" si="0">C6+C8+C9+C10+C11</f>
        <v>176908487</v>
      </c>
      <c r="D5" s="242">
        <f t="shared" si="0"/>
        <v>176908484.61239997</v>
      </c>
      <c r="E5" s="243"/>
    </row>
    <row r="6" spans="2:8">
      <c r="B6" s="244" t="s">
        <v>1444</v>
      </c>
      <c r="C6" s="245">
        <v>174993754</v>
      </c>
      <c r="D6" s="245">
        <f>174993754-1.59635</f>
        <v>174993752.40364999</v>
      </c>
      <c r="E6" s="246"/>
      <c r="G6" s="247"/>
    </row>
    <row r="7" spans="2:8">
      <c r="B7" s="248" t="s">
        <v>1582</v>
      </c>
      <c r="C7" s="249">
        <v>0</v>
      </c>
      <c r="D7" s="249">
        <v>0</v>
      </c>
      <c r="H7" s="239" t="s">
        <v>1483</v>
      </c>
    </row>
    <row r="8" spans="2:8">
      <c r="B8" s="244" t="s">
        <v>1583</v>
      </c>
      <c r="C8" s="245">
        <v>239012</v>
      </c>
      <c r="D8" s="245">
        <f>137954.99986+101057</f>
        <v>239011.99986000001</v>
      </c>
      <c r="G8" s="239" t="s">
        <v>6</v>
      </c>
      <c r="H8" s="247">
        <f>SUM(H9:H18)</f>
        <v>15821717.575209999</v>
      </c>
    </row>
    <row r="9" spans="2:8">
      <c r="B9" s="244" t="s">
        <v>1584</v>
      </c>
      <c r="C9" s="245">
        <v>1107893</v>
      </c>
      <c r="D9" s="245">
        <v>1107892.3049000001</v>
      </c>
      <c r="G9" s="262" t="s">
        <v>1263</v>
      </c>
      <c r="H9" s="264">
        <v>330741.90399000002</v>
      </c>
    </row>
    <row r="10" spans="2:8" ht="25.5">
      <c r="B10" s="244" t="s">
        <v>1585</v>
      </c>
      <c r="C10" s="245">
        <v>330742</v>
      </c>
      <c r="D10" s="245">
        <v>330741.90399000002</v>
      </c>
      <c r="G10" s="262" t="s">
        <v>1264</v>
      </c>
      <c r="H10" s="264">
        <v>1107892.3049000001</v>
      </c>
    </row>
    <row r="11" spans="2:8">
      <c r="B11" s="244" t="s">
        <v>1586</v>
      </c>
      <c r="C11" s="245">
        <v>237086</v>
      </c>
      <c r="D11" s="245">
        <v>237086</v>
      </c>
      <c r="G11" s="262" t="s">
        <v>1265</v>
      </c>
      <c r="H11" s="264">
        <f>137954.99986+101057</f>
        <v>239011.99986000001</v>
      </c>
    </row>
    <row r="12" spans="2:8">
      <c r="B12" s="241" t="s">
        <v>1587</v>
      </c>
      <c r="C12" s="242">
        <f t="shared" ref="C12:D12" si="1">SUM(C13:C14)</f>
        <v>51211249</v>
      </c>
      <c r="D12" s="242">
        <f t="shared" si="1"/>
        <v>50995349.362800002</v>
      </c>
      <c r="F12" s="247"/>
      <c r="G12" s="262" t="s">
        <v>1266</v>
      </c>
      <c r="H12" s="264">
        <v>1612487.7891899999</v>
      </c>
    </row>
    <row r="13" spans="2:8">
      <c r="B13" s="244" t="s">
        <v>1588</v>
      </c>
      <c r="C13" s="245">
        <v>49382872</v>
      </c>
      <c r="D13" s="245">
        <v>49382861.57361</v>
      </c>
      <c r="G13" s="268" t="s">
        <v>1267</v>
      </c>
      <c r="H13" s="270">
        <v>2763942</v>
      </c>
    </row>
    <row r="14" spans="2:8">
      <c r="B14" s="244" t="s">
        <v>1266</v>
      </c>
      <c r="C14" s="245">
        <v>1828377</v>
      </c>
      <c r="D14" s="245">
        <v>1612487.7891899999</v>
      </c>
      <c r="E14" s="247"/>
      <c r="G14" s="268" t="s">
        <v>1268</v>
      </c>
      <c r="H14" s="270">
        <v>1325341</v>
      </c>
    </row>
    <row r="15" spans="2:8" ht="25.5">
      <c r="B15" s="250" t="s">
        <v>1589</v>
      </c>
      <c r="C15" s="242">
        <f t="shared" ref="C15:D15" si="2">SUM(C16:C17)</f>
        <v>5441435</v>
      </c>
      <c r="D15" s="242">
        <f t="shared" si="2"/>
        <v>5441435</v>
      </c>
      <c r="G15" s="268" t="s">
        <v>1269</v>
      </c>
      <c r="H15" s="271">
        <v>170216.96400000001</v>
      </c>
    </row>
    <row r="16" spans="2:8" ht="25.5">
      <c r="B16" s="251" t="s">
        <v>1590</v>
      </c>
      <c r="C16" s="245">
        <v>0</v>
      </c>
      <c r="D16" s="245">
        <v>0</v>
      </c>
      <c r="G16" s="268" t="s">
        <v>1270</v>
      </c>
      <c r="H16" s="270">
        <v>5441435</v>
      </c>
    </row>
    <row r="17" spans="2:11" ht="25.5">
      <c r="B17" s="251" t="s">
        <v>1591</v>
      </c>
      <c r="C17" s="245">
        <v>5441435</v>
      </c>
      <c r="D17" s="245">
        <v>5441435</v>
      </c>
      <c r="G17" s="269" t="s">
        <v>272</v>
      </c>
      <c r="H17" s="271">
        <v>2593562.6132700001</v>
      </c>
    </row>
    <row r="18" spans="2:11" ht="25.5">
      <c r="B18" s="241" t="s">
        <v>1592</v>
      </c>
      <c r="C18" s="242">
        <f>SUM(C19:C20)</f>
        <v>4089283</v>
      </c>
      <c r="D18" s="242">
        <f>SUM(D19:D20)</f>
        <v>4089283</v>
      </c>
      <c r="G18" s="265" t="s">
        <v>1428</v>
      </c>
      <c r="H18" s="264">
        <v>237086</v>
      </c>
    </row>
    <row r="19" spans="2:11">
      <c r="B19" s="244" t="s">
        <v>1593</v>
      </c>
      <c r="C19" s="245">
        <v>1325341</v>
      </c>
      <c r="D19" s="245">
        <v>1325341</v>
      </c>
      <c r="G19" s="251"/>
      <c r="H19" s="245"/>
    </row>
    <row r="20" spans="2:11">
      <c r="B20" s="244" t="s">
        <v>1594</v>
      </c>
      <c r="C20" s="245">
        <v>2763942</v>
      </c>
      <c r="D20" s="245">
        <v>2763942</v>
      </c>
      <c r="G20" s="251"/>
      <c r="H20" s="245"/>
    </row>
    <row r="21" spans="2:11">
      <c r="B21" s="241" t="s">
        <v>1595</v>
      </c>
      <c r="C21" s="242">
        <v>170217</v>
      </c>
      <c r="D21" s="242">
        <v>170216.96400000001</v>
      </c>
      <c r="H21" s="239" t="s">
        <v>1444</v>
      </c>
    </row>
    <row r="22" spans="2:11">
      <c r="B22" s="252" t="s">
        <v>1596</v>
      </c>
      <c r="C22" s="253">
        <v>2655090</v>
      </c>
      <c r="D22" s="253">
        <v>2593562.6132700001</v>
      </c>
      <c r="H22" s="266">
        <f>SUM(H23:H27)</f>
        <v>227074502.39794004</v>
      </c>
      <c r="J22" s="267">
        <f>SUM(J23:K27)</f>
        <v>223621027.30000001</v>
      </c>
    </row>
    <row r="23" spans="2:11">
      <c r="B23" s="241" t="s">
        <v>46</v>
      </c>
      <c r="C23" s="254">
        <f>C5+C12+C15+C18+C21+C22</f>
        <v>240475761</v>
      </c>
      <c r="D23" s="254">
        <f>D5+D12+D15+D18+D21+D22</f>
        <v>240198331.55246997</v>
      </c>
      <c r="E23" s="255"/>
      <c r="F23" s="255"/>
      <c r="G23" s="129" t="s">
        <v>444</v>
      </c>
      <c r="H23" s="263">
        <v>145894357.40000001</v>
      </c>
      <c r="J23" s="1338">
        <v>145922939.40000001</v>
      </c>
      <c r="K23" s="1338"/>
    </row>
    <row r="24" spans="2:11">
      <c r="B24" s="248" t="s">
        <v>1597</v>
      </c>
      <c r="C24" s="256">
        <f>C11+C14+C15+C18+C21+C22</f>
        <v>14421488</v>
      </c>
      <c r="D24" s="256">
        <f>D11+D14+D15+D18+D21+D22</f>
        <v>14144071.366459999</v>
      </c>
      <c r="G24" s="129" t="s">
        <v>445</v>
      </c>
      <c r="H24" s="263">
        <v>48858276.200000003</v>
      </c>
      <c r="J24" s="1338">
        <v>48942501.700000003</v>
      </c>
      <c r="K24" s="1338"/>
    </row>
    <row r="25" spans="2:11">
      <c r="B25" s="248" t="s">
        <v>1598</v>
      </c>
      <c r="C25" s="256">
        <f t="shared" ref="C25:D25" si="3">C8+C9+C10</f>
        <v>1677647</v>
      </c>
      <c r="D25" s="256">
        <f t="shared" si="3"/>
        <v>1677646.2087500002</v>
      </c>
      <c r="G25" s="129" t="s">
        <v>446</v>
      </c>
      <c r="H25" s="263">
        <v>25753739.300000008</v>
      </c>
      <c r="J25" s="1338">
        <v>25714676.699999999</v>
      </c>
      <c r="K25" s="1338"/>
    </row>
    <row r="26" spans="2:11">
      <c r="B26" s="248" t="s">
        <v>1444</v>
      </c>
      <c r="C26" s="256">
        <f>C6+C13</f>
        <v>224376626</v>
      </c>
      <c r="D26" s="256">
        <f>D6+D13</f>
        <v>224376613.97725999</v>
      </c>
      <c r="G26" s="133" t="s">
        <v>1447</v>
      </c>
      <c r="H26" s="272">
        <f>H9+H10+H11+H12+H18</f>
        <v>3527219.9979400001</v>
      </c>
      <c r="J26" s="1338">
        <v>1347927.9</v>
      </c>
      <c r="K26" s="1338"/>
    </row>
    <row r="27" spans="2:11">
      <c r="B27" s="257"/>
      <c r="C27" s="258"/>
      <c r="D27" s="258"/>
      <c r="G27" s="134" t="s">
        <v>1441</v>
      </c>
      <c r="H27" s="263">
        <f>1347927.9+1692981.6</f>
        <v>3040909.5</v>
      </c>
      <c r="J27" s="1338">
        <v>1692981.6</v>
      </c>
      <c r="K27" s="1338"/>
    </row>
    <row r="28" spans="2:11">
      <c r="B28" s="257"/>
      <c r="C28" s="259"/>
      <c r="D28" s="259"/>
    </row>
    <row r="29" spans="2:11">
      <c r="B29" s="260"/>
      <c r="C29" s="247"/>
      <c r="D29" s="259"/>
      <c r="H29" s="239" t="s">
        <v>1443</v>
      </c>
    </row>
    <row r="30" spans="2:11">
      <c r="C30" s="247"/>
      <c r="D30" s="259"/>
      <c r="G30"/>
      <c r="H30" t="s">
        <v>1436</v>
      </c>
      <c r="I30" s="247">
        <f>I32+I33</f>
        <v>227903833.97530001</v>
      </c>
      <c r="J30" s="266">
        <f>I30-H22</f>
        <v>829331.57735997438</v>
      </c>
      <c r="K30" s="239" t="s">
        <v>1435</v>
      </c>
    </row>
    <row r="31" spans="2:11">
      <c r="D31" s="255"/>
      <c r="G31"/>
      <c r="H31" s="132" t="s">
        <v>1437</v>
      </c>
      <c r="I31" s="228">
        <v>240198331.55250001</v>
      </c>
    </row>
    <row r="32" spans="2:11">
      <c r="G32"/>
      <c r="H32" s="132" t="s">
        <v>444</v>
      </c>
      <c r="I32" s="228">
        <v>176908484.61250001</v>
      </c>
    </row>
    <row r="33" spans="3:9">
      <c r="D33" s="261"/>
      <c r="G33"/>
      <c r="H33" s="132" t="s">
        <v>445</v>
      </c>
      <c r="I33" s="228">
        <v>50995349.362800002</v>
      </c>
    </row>
    <row r="34" spans="3:9">
      <c r="C34" s="247"/>
      <c r="G34"/>
      <c r="H34" s="132" t="s">
        <v>1438</v>
      </c>
      <c r="I34" s="270">
        <v>5441435</v>
      </c>
    </row>
    <row r="35" spans="3:9">
      <c r="G35"/>
      <c r="H35" s="132" t="s">
        <v>1439</v>
      </c>
      <c r="I35" s="270">
        <v>4089283</v>
      </c>
    </row>
    <row r="36" spans="3:9">
      <c r="G36"/>
      <c r="H36" s="132" t="s">
        <v>1440</v>
      </c>
      <c r="I36" s="271">
        <v>170216.96400000001</v>
      </c>
    </row>
    <row r="37" spans="3:9">
      <c r="C37" s="247"/>
      <c r="D37" s="247"/>
      <c r="G37"/>
      <c r="H37" s="132" t="s">
        <v>1442</v>
      </c>
      <c r="I37" s="270">
        <v>2593562.6132700001</v>
      </c>
    </row>
  </sheetData>
  <mergeCells count="8">
    <mergeCell ref="J26:K26"/>
    <mergeCell ref="J27:K27"/>
    <mergeCell ref="B1:D1"/>
    <mergeCell ref="B3:B4"/>
    <mergeCell ref="C3:D3"/>
    <mergeCell ref="J23:K23"/>
    <mergeCell ref="J24:K24"/>
    <mergeCell ref="J25:K25"/>
  </mergeCells>
  <pageMargins left="0.39370078740157483" right="0.19685039370078741" top="0.39370078740157483" bottom="0.39370078740157483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E11" sqref="E11"/>
    </sheetView>
  </sheetViews>
  <sheetFormatPr defaultRowHeight="15"/>
  <cols>
    <col min="1" max="1" width="13.140625" style="649" bestFit="1" customWidth="1"/>
    <col min="2" max="2" width="57.5703125" style="649" customWidth="1"/>
    <col min="3" max="3" width="29" style="649" customWidth="1"/>
    <col min="4" max="4" width="14" style="649" customWidth="1"/>
    <col min="5" max="5" width="13.5703125" style="649" bestFit="1" customWidth="1"/>
    <col min="6" max="6" width="9.140625" style="649"/>
    <col min="7" max="7" width="11.5703125" style="649" customWidth="1"/>
    <col min="8" max="16384" width="9.140625" style="649"/>
  </cols>
  <sheetData>
    <row r="1" spans="1:6">
      <c r="A1" s="673"/>
      <c r="B1" s="657"/>
    </row>
    <row r="2" spans="1:6">
      <c r="C2" s="649" t="s">
        <v>1483</v>
      </c>
    </row>
    <row r="3" spans="1:6">
      <c r="B3" s="649" t="s">
        <v>6</v>
      </c>
      <c r="C3" s="657">
        <f>SUM(C4:C16)</f>
        <v>17458864.7141</v>
      </c>
    </row>
    <row r="4" spans="1:6">
      <c r="B4" s="262" t="s">
        <v>1263</v>
      </c>
      <c r="C4" s="653">
        <v>354299.4</v>
      </c>
      <c r="D4" s="666"/>
    </row>
    <row r="5" spans="1:6" ht="25.5">
      <c r="B5" s="262" t="s">
        <v>1264</v>
      </c>
      <c r="C5" s="653">
        <v>1168140</v>
      </c>
      <c r="D5" s="666"/>
    </row>
    <row r="6" spans="1:6">
      <c r="B6" s="262" t="s">
        <v>1265</v>
      </c>
      <c r="C6" s="653">
        <v>244897</v>
      </c>
      <c r="D6" s="666"/>
    </row>
    <row r="7" spans="1:6">
      <c r="B7" s="262" t="s">
        <v>1266</v>
      </c>
      <c r="C7" s="653">
        <v>1990737.5564999999</v>
      </c>
      <c r="D7" s="672"/>
    </row>
    <row r="8" spans="1:6">
      <c r="B8" s="262" t="s">
        <v>254</v>
      </c>
      <c r="C8" s="653">
        <v>54839.691599999998</v>
      </c>
      <c r="D8" s="672"/>
    </row>
    <row r="9" spans="1:6">
      <c r="B9" s="262" t="s">
        <v>315</v>
      </c>
      <c r="C9" s="653">
        <v>337.06599999999997</v>
      </c>
      <c r="D9" s="672"/>
    </row>
    <row r="10" spans="1:6" ht="25.5">
      <c r="B10" s="262" t="s">
        <v>300</v>
      </c>
      <c r="C10" s="653">
        <v>229874</v>
      </c>
      <c r="D10" s="672"/>
    </row>
    <row r="11" spans="1:6">
      <c r="B11" s="268" t="s">
        <v>1267</v>
      </c>
      <c r="C11" s="669">
        <v>3012354</v>
      </c>
      <c r="D11" s="666"/>
    </row>
    <row r="12" spans="1:6">
      <c r="A12" s="657"/>
      <c r="B12" s="268" t="s">
        <v>1268</v>
      </c>
      <c r="C12" s="669">
        <v>1456559</v>
      </c>
      <c r="D12" s="666"/>
      <c r="F12" s="671"/>
    </row>
    <row r="13" spans="1:6" ht="25.5">
      <c r="B13" s="268" t="s">
        <v>1269</v>
      </c>
      <c r="C13" s="670">
        <v>82443</v>
      </c>
      <c r="D13" s="666"/>
    </row>
    <row r="14" spans="1:6" ht="25.5">
      <c r="B14" s="268" t="s">
        <v>1270</v>
      </c>
      <c r="C14" s="669">
        <v>6470037</v>
      </c>
      <c r="D14" s="666"/>
    </row>
    <row r="15" spans="1:6" ht="25.5">
      <c r="B15" s="668" t="s">
        <v>272</v>
      </c>
      <c r="C15" s="667">
        <v>2394347</v>
      </c>
      <c r="D15" s="666"/>
    </row>
    <row r="16" spans="1:6">
      <c r="B16" s="665"/>
      <c r="C16" s="662"/>
      <c r="D16" s="664"/>
    </row>
    <row r="17" spans="1:6">
      <c r="B17" s="663"/>
      <c r="C17" s="662"/>
    </row>
    <row r="18" spans="1:6">
      <c r="B18" s="663"/>
      <c r="C18" s="662"/>
    </row>
    <row r="19" spans="1:6">
      <c r="C19" s="649" t="s">
        <v>1444</v>
      </c>
      <c r="E19" s="658"/>
      <c r="F19" s="658"/>
    </row>
    <row r="20" spans="1:6">
      <c r="C20" s="656">
        <f>C21+C22+C23+C24+C25</f>
        <v>292226354.11409998</v>
      </c>
      <c r="D20" s="656">
        <v>297303777.78820002</v>
      </c>
      <c r="E20" s="656">
        <f>D20-C20</f>
        <v>5077423.6741000414</v>
      </c>
      <c r="F20" s="656" t="s">
        <v>1435</v>
      </c>
    </row>
    <row r="21" spans="1:6">
      <c r="A21" s="661"/>
      <c r="B21" s="129" t="s">
        <v>444</v>
      </c>
      <c r="C21" s="659">
        <v>182888870.09999999</v>
      </c>
      <c r="E21" s="1330"/>
      <c r="F21" s="1330"/>
    </row>
    <row r="22" spans="1:6">
      <c r="B22" s="129" t="s">
        <v>445</v>
      </c>
      <c r="C22" s="659">
        <v>68960815.900000006</v>
      </c>
      <c r="E22" s="1330"/>
      <c r="F22" s="1330"/>
    </row>
    <row r="23" spans="1:6">
      <c r="B23" s="129" t="s">
        <v>446</v>
      </c>
      <c r="C23" s="659">
        <v>32947359.399999995</v>
      </c>
      <c r="E23" s="1330"/>
      <c r="F23" s="1330"/>
    </row>
    <row r="24" spans="1:6">
      <c r="B24" s="133" t="s">
        <v>1447</v>
      </c>
      <c r="C24" s="660">
        <f>SUM(C4:C10)</f>
        <v>4043124.7141</v>
      </c>
      <c r="E24" s="1330"/>
      <c r="F24" s="1330"/>
    </row>
    <row r="25" spans="1:6">
      <c r="B25" s="134" t="s">
        <v>1441</v>
      </c>
      <c r="C25" s="659">
        <v>3386184</v>
      </c>
      <c r="E25" s="1330"/>
      <c r="F25" s="1330"/>
    </row>
    <row r="26" spans="1:6">
      <c r="E26" s="658"/>
      <c r="F26" s="658"/>
    </row>
    <row r="27" spans="1:6">
      <c r="C27" s="649" t="s">
        <v>1443</v>
      </c>
      <c r="D27" s="657">
        <f>D28+D29</f>
        <v>314762642.56569999</v>
      </c>
    </row>
    <row r="28" spans="1:6">
      <c r="B28"/>
      <c r="C28" s="132">
        <v>52</v>
      </c>
      <c r="D28" s="56">
        <v>297303777.78820002</v>
      </c>
      <c r="E28" s="656"/>
    </row>
    <row r="29" spans="1:6" ht="13.5" customHeight="1">
      <c r="B29"/>
      <c r="C29" s="132">
        <v>53</v>
      </c>
      <c r="D29" s="56">
        <v>17458864.7775</v>
      </c>
    </row>
    <row r="30" spans="1:6" ht="21.75" customHeight="1">
      <c r="B30"/>
      <c r="C30" s="132" t="s">
        <v>444</v>
      </c>
      <c r="D30" s="56">
        <f>223229344.6039</f>
        <v>223229344.60389999</v>
      </c>
    </row>
    <row r="31" spans="1:6" ht="21.75" customHeight="1">
      <c r="B31"/>
      <c r="C31" s="132" t="s">
        <v>445</v>
      </c>
      <c r="D31" s="56">
        <f>72292845</f>
        <v>72292845</v>
      </c>
    </row>
    <row r="32" spans="1:6" ht="21.75" customHeight="1">
      <c r="B32"/>
      <c r="C32" s="132" t="s">
        <v>421</v>
      </c>
      <c r="D32" s="56">
        <v>1781588.1842499999</v>
      </c>
    </row>
    <row r="33" spans="1:7" ht="21.75" customHeight="1">
      <c r="B33"/>
      <c r="C33" s="132" t="s">
        <v>2181</v>
      </c>
      <c r="D33" s="56">
        <v>6470037</v>
      </c>
    </row>
    <row r="34" spans="1:7" ht="21.75" customHeight="1">
      <c r="B34"/>
      <c r="C34" s="132" t="s">
        <v>2180</v>
      </c>
      <c r="D34" s="56">
        <v>4468913</v>
      </c>
    </row>
    <row r="35" spans="1:7" ht="21.75" customHeight="1">
      <c r="B35"/>
      <c r="C35" s="132" t="s">
        <v>2179</v>
      </c>
      <c r="D35" s="56">
        <v>82443</v>
      </c>
    </row>
    <row r="36" spans="1:7" ht="21.75" customHeight="1">
      <c r="C36" s="132" t="s">
        <v>2178</v>
      </c>
      <c r="D36" s="56">
        <v>2394347</v>
      </c>
    </row>
    <row r="37" spans="1:7" ht="21.75" customHeight="1">
      <c r="B37" s="655"/>
      <c r="C37" s="79"/>
      <c r="D37" s="56"/>
      <c r="E37" s="78"/>
      <c r="F37" s="79"/>
      <c r="G37" s="56"/>
    </row>
    <row r="38" spans="1:7" ht="27.75" customHeight="1">
      <c r="B38" s="655"/>
      <c r="C38" s="79"/>
      <c r="D38" s="56"/>
      <c r="E38" s="78"/>
      <c r="F38" s="79"/>
      <c r="G38" s="56"/>
    </row>
    <row r="39" spans="1:7" ht="35.25" customHeight="1">
      <c r="B39" s="655"/>
      <c r="C39" s="79"/>
      <c r="D39" s="56"/>
      <c r="E39" s="78"/>
      <c r="F39" s="79"/>
      <c r="G39" s="56"/>
    </row>
    <row r="40" spans="1:7">
      <c r="B40" s="654"/>
      <c r="D40" s="78"/>
      <c r="E40" s="78"/>
      <c r="F40" s="79"/>
      <c r="G40" s="56"/>
    </row>
    <row r="41" spans="1:7">
      <c r="D41" s="78"/>
      <c r="E41" s="78"/>
      <c r="F41" s="79"/>
      <c r="G41" s="56"/>
    </row>
    <row r="42" spans="1:7">
      <c r="D42" s="78"/>
      <c r="E42" s="78"/>
      <c r="F42" s="79"/>
      <c r="G42" s="56"/>
    </row>
    <row r="43" spans="1:7" ht="36">
      <c r="A43" s="650"/>
      <c r="B43" s="652" t="s">
        <v>2177</v>
      </c>
      <c r="C43" s="650">
        <v>17458864.7775</v>
      </c>
      <c r="D43" s="78"/>
      <c r="E43" s="78"/>
      <c r="F43" s="79"/>
      <c r="G43" s="56"/>
    </row>
    <row r="44" spans="1:7" ht="36">
      <c r="A44" s="650" t="s">
        <v>265</v>
      </c>
      <c r="B44" s="652" t="s">
        <v>2176</v>
      </c>
      <c r="C44" s="650">
        <v>1767336.4635000001</v>
      </c>
      <c r="D44" s="78"/>
      <c r="E44" s="78"/>
      <c r="F44" s="79"/>
      <c r="G44" s="56"/>
    </row>
    <row r="45" spans="1:7" ht="36">
      <c r="A45" s="650" t="s">
        <v>267</v>
      </c>
      <c r="B45" s="652" t="s">
        <v>2175</v>
      </c>
      <c r="C45" s="650">
        <v>1990737.5564999999</v>
      </c>
      <c r="D45" s="78"/>
      <c r="E45" s="78"/>
      <c r="F45" s="79"/>
      <c r="G45" s="56"/>
    </row>
    <row r="46" spans="1:7">
      <c r="A46" s="650" t="s">
        <v>269</v>
      </c>
      <c r="B46" s="652" t="s">
        <v>266</v>
      </c>
      <c r="C46" s="653">
        <v>6470037</v>
      </c>
      <c r="D46" s="78"/>
      <c r="E46" s="78"/>
      <c r="F46" s="79"/>
      <c r="G46" s="56"/>
    </row>
    <row r="47" spans="1:7">
      <c r="A47" s="650" t="s">
        <v>271</v>
      </c>
      <c r="B47" s="652" t="s">
        <v>268</v>
      </c>
      <c r="C47" s="653">
        <v>4468913</v>
      </c>
      <c r="D47" s="78"/>
      <c r="E47" s="78"/>
      <c r="F47" s="79"/>
      <c r="G47" s="56"/>
    </row>
    <row r="48" spans="1:7">
      <c r="A48" s="650" t="s">
        <v>388</v>
      </c>
      <c r="B48" s="652" t="s">
        <v>270</v>
      </c>
      <c r="C48" s="653">
        <v>82443</v>
      </c>
      <c r="D48" s="78"/>
      <c r="E48" s="78"/>
      <c r="F48" s="79"/>
      <c r="G48" s="56"/>
    </row>
    <row r="49" spans="1:7" ht="24">
      <c r="A49" s="650" t="s">
        <v>390</v>
      </c>
      <c r="B49" s="652" t="s">
        <v>272</v>
      </c>
      <c r="C49" s="653">
        <v>2394347</v>
      </c>
      <c r="D49" s="78"/>
      <c r="E49" s="78"/>
      <c r="F49" s="79"/>
      <c r="G49" s="56"/>
    </row>
    <row r="50" spans="1:7">
      <c r="A50" s="650" t="s">
        <v>392</v>
      </c>
      <c r="B50" s="652" t="s">
        <v>254</v>
      </c>
      <c r="C50" s="650">
        <v>54839.691599999998</v>
      </c>
      <c r="D50" s="78"/>
      <c r="E50" s="78"/>
      <c r="F50" s="79"/>
      <c r="G50" s="56"/>
    </row>
    <row r="51" spans="1:7">
      <c r="A51" s="650" t="s">
        <v>2174</v>
      </c>
      <c r="B51" s="652" t="s">
        <v>315</v>
      </c>
      <c r="C51" s="650">
        <v>337.06599999999997</v>
      </c>
    </row>
    <row r="52" spans="1:7" ht="25.5">
      <c r="A52" s="650" t="s">
        <v>246</v>
      </c>
      <c r="B52" s="651" t="s">
        <v>300</v>
      </c>
      <c r="C52" s="650">
        <v>229874</v>
      </c>
    </row>
  </sheetData>
  <mergeCells count="5">
    <mergeCell ref="E24:F24"/>
    <mergeCell ref="E25:F25"/>
    <mergeCell ref="E21:F21"/>
    <mergeCell ref="E22:F22"/>
    <mergeCell ref="E23:F23"/>
  </mergeCells>
  <pageMargins left="0.39370078740157483" right="0.19685039370078741" top="0.39370078740157483" bottom="0.3937007874015748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9"/>
  <sheetViews>
    <sheetView topLeftCell="B4" workbookViewId="0">
      <selection activeCell="L23" sqref="L23"/>
    </sheetView>
  </sheetViews>
  <sheetFormatPr defaultRowHeight="12.75"/>
  <cols>
    <col min="2" max="2" width="9.28515625" customWidth="1"/>
    <col min="3" max="3" width="17.140625" customWidth="1"/>
    <col min="4" max="4" width="12.7109375" customWidth="1"/>
    <col min="5" max="5" width="45.42578125" customWidth="1"/>
    <col min="6" max="6" width="16" customWidth="1"/>
    <col min="9" max="9" width="13.5703125" customWidth="1"/>
    <col min="10" max="10" width="14.28515625" customWidth="1"/>
    <col min="11" max="11" width="15.5703125" customWidth="1"/>
    <col min="12" max="12" width="15.28515625" customWidth="1"/>
  </cols>
  <sheetData>
    <row r="1" spans="1:12" ht="57" customHeight="1">
      <c r="A1" t="s">
        <v>1616</v>
      </c>
      <c r="C1" s="112" t="s">
        <v>1600</v>
      </c>
      <c r="D1" s="99"/>
      <c r="F1" s="276">
        <v>3477523.0008</v>
      </c>
      <c r="K1" t="s">
        <v>1575</v>
      </c>
    </row>
    <row r="2" spans="1:12" ht="23.25" customHeight="1">
      <c r="B2" t="s">
        <v>261</v>
      </c>
      <c r="C2" s="112" t="s">
        <v>325</v>
      </c>
      <c r="D2" s="12" t="s">
        <v>1427</v>
      </c>
      <c r="E2" s="336" t="s">
        <v>1601</v>
      </c>
      <c r="F2" s="276">
        <v>99128.890299999999</v>
      </c>
      <c r="I2" s="12" t="s">
        <v>1427</v>
      </c>
      <c r="J2" s="369">
        <f>SUMIF($D$2:$D$675,"общ",$F$2:$F$675)</f>
        <v>18907206.779219996</v>
      </c>
      <c r="K2" s="374">
        <f>J2*100/$J$9</f>
        <v>26.708933369963592</v>
      </c>
      <c r="L2" s="369">
        <f>K2*$I$15/100</f>
        <v>19798611.777026709</v>
      </c>
    </row>
    <row r="3" spans="1:12" ht="23.25" customHeight="1">
      <c r="D3" s="12" t="s">
        <v>1426</v>
      </c>
      <c r="E3" s="337" t="s">
        <v>1393</v>
      </c>
      <c r="F3" s="276">
        <v>15047</v>
      </c>
      <c r="I3" s="12" t="s">
        <v>1422</v>
      </c>
      <c r="J3" s="369">
        <f>SUMIF($D$2:$D$675,"псих",$F$2:$F$675)</f>
        <v>9349474.2035700008</v>
      </c>
      <c r="K3" s="374">
        <f t="shared" ref="K3:K9" si="0">J3*100/$J$9</f>
        <v>13.207370420351765</v>
      </c>
      <c r="L3" s="369">
        <f t="shared" ref="L3:L9" si="1">K3*$I$15/100</f>
        <v>9790267.3957768418</v>
      </c>
    </row>
    <row r="4" spans="1:12" ht="23.25" customHeight="1">
      <c r="D4" s="12" t="s">
        <v>1422</v>
      </c>
      <c r="E4" s="273" t="s">
        <v>1394</v>
      </c>
      <c r="F4" s="276">
        <v>24946</v>
      </c>
      <c r="I4" s="12" t="s">
        <v>1423</v>
      </c>
      <c r="J4" s="369">
        <f>SUMIF($D$2:$D$675,"нарко",$F$2:$F$675)</f>
        <v>6039578.7549700001</v>
      </c>
      <c r="K4" s="374">
        <f t="shared" si="0"/>
        <v>8.5317047849939538</v>
      </c>
      <c r="L4" s="369">
        <f t="shared" si="1"/>
        <v>6324322.5962836966</v>
      </c>
    </row>
    <row r="5" spans="1:12" ht="23.25" customHeight="1">
      <c r="D5" s="12" t="s">
        <v>1426</v>
      </c>
      <c r="E5" s="274" t="s">
        <v>1399</v>
      </c>
      <c r="F5" s="276">
        <v>4265</v>
      </c>
      <c r="I5" s="12" t="s">
        <v>1259</v>
      </c>
      <c r="J5" s="369">
        <f>SUMIF($D$2:$D$675,"туб",$F$2:$F$675)</f>
        <v>4724505.1507900003</v>
      </c>
      <c r="K5" s="374">
        <f t="shared" si="0"/>
        <v>6.6739891699489649</v>
      </c>
      <c r="L5" s="369">
        <f t="shared" si="1"/>
        <v>4947248.1266697766</v>
      </c>
    </row>
    <row r="6" spans="1:12" ht="23.25" customHeight="1">
      <c r="D6" s="12" t="s">
        <v>1259</v>
      </c>
      <c r="E6" s="274" t="s">
        <v>1403</v>
      </c>
      <c r="F6" s="276">
        <v>4507</v>
      </c>
      <c r="I6" s="12" t="s">
        <v>1424</v>
      </c>
      <c r="J6" s="369">
        <f>SUMIF($D$2:$D$675,"туб сан",$F$2:$F$675)</f>
        <v>4314875.7952900007</v>
      </c>
      <c r="K6" s="374">
        <f t="shared" si="0"/>
        <v>6.0953334599762421</v>
      </c>
      <c r="L6" s="369">
        <f t="shared" si="1"/>
        <v>4518306.2593321027</v>
      </c>
    </row>
    <row r="7" spans="1:12" ht="23.25" customHeight="1">
      <c r="D7" s="12" t="s">
        <v>1424</v>
      </c>
      <c r="E7" s="274" t="s">
        <v>1400</v>
      </c>
      <c r="F7" s="276">
        <v>4741</v>
      </c>
      <c r="I7" s="12" t="s">
        <v>1426</v>
      </c>
      <c r="J7" s="369">
        <f>SUMIF($D$2:$D$675,"туб дисп",$F$2:$F$675)</f>
        <v>22975749.30982</v>
      </c>
      <c r="K7" s="374">
        <f t="shared" si="0"/>
        <v>32.456288472785474</v>
      </c>
      <c r="L7" s="369">
        <f t="shared" si="1"/>
        <v>24058971.067654528</v>
      </c>
    </row>
    <row r="8" spans="1:12" ht="23.25" customHeight="1">
      <c r="D8" s="12" t="s">
        <v>1427</v>
      </c>
      <c r="E8" s="274" t="s">
        <v>1405</v>
      </c>
      <c r="F8" s="276">
        <v>3348</v>
      </c>
      <c r="I8" s="12" t="s">
        <v>1425</v>
      </c>
      <c r="J8" s="369">
        <f>SUMIF($D$2:$D$675,"инф",$F$2:$F$675)</f>
        <v>4478433.4610000001</v>
      </c>
      <c r="K8" s="374">
        <f t="shared" si="0"/>
        <v>6.326380321980011</v>
      </c>
      <c r="L8" s="369">
        <f t="shared" si="1"/>
        <v>4689575.0651563443</v>
      </c>
    </row>
    <row r="9" spans="1:12" ht="23.25" customHeight="1">
      <c r="D9" s="12" t="s">
        <v>1426</v>
      </c>
      <c r="E9" s="274" t="s">
        <v>1401</v>
      </c>
      <c r="F9" s="276">
        <v>4261</v>
      </c>
      <c r="J9" s="370">
        <f>SUM(J2:J8)</f>
        <v>70789823.454659998</v>
      </c>
      <c r="K9" s="374">
        <f t="shared" si="0"/>
        <v>100</v>
      </c>
      <c r="L9" s="369">
        <f t="shared" si="1"/>
        <v>74127302.287900001</v>
      </c>
    </row>
    <row r="10" spans="1:12" ht="23.25" customHeight="1">
      <c r="D10" s="12" t="s">
        <v>1422</v>
      </c>
      <c r="E10" s="275" t="s">
        <v>1398</v>
      </c>
      <c r="F10" s="276">
        <v>4645</v>
      </c>
    </row>
    <row r="11" spans="1:12" ht="23.25" customHeight="1">
      <c r="D11" s="12" t="s">
        <v>1424</v>
      </c>
      <c r="E11" s="338" t="s">
        <v>1602</v>
      </c>
      <c r="F11" s="276">
        <v>4772.9695000000002</v>
      </c>
    </row>
    <row r="12" spans="1:12" ht="23.25" customHeight="1">
      <c r="C12" s="112" t="s">
        <v>1603</v>
      </c>
      <c r="D12" s="97"/>
      <c r="F12" s="276">
        <v>3307861.1409999998</v>
      </c>
      <c r="I12" s="97" t="s">
        <v>1443</v>
      </c>
      <c r="K12">
        <v>2015</v>
      </c>
    </row>
    <row r="13" spans="1:12" ht="23.25" customHeight="1">
      <c r="B13" t="s">
        <v>326</v>
      </c>
      <c r="C13" s="112" t="s">
        <v>1604</v>
      </c>
      <c r="D13" s="12" t="s">
        <v>1426</v>
      </c>
      <c r="E13" s="337" t="s">
        <v>1393</v>
      </c>
      <c r="F13" s="276">
        <v>731393</v>
      </c>
      <c r="I13" s="420">
        <v>62580696.9476</v>
      </c>
      <c r="K13" s="12" t="s">
        <v>1427</v>
      </c>
      <c r="L13" s="369">
        <v>19798611.777026702</v>
      </c>
    </row>
    <row r="14" spans="1:12" ht="23.25" customHeight="1">
      <c r="D14" s="12" t="s">
        <v>1422</v>
      </c>
      <c r="E14" s="273" t="s">
        <v>1394</v>
      </c>
      <c r="F14" s="276">
        <v>731244.8</v>
      </c>
      <c r="I14" s="420">
        <v>11546605.340299999</v>
      </c>
      <c r="K14" s="12" t="s">
        <v>1422</v>
      </c>
      <c r="L14" s="369">
        <v>9790267.3957768418</v>
      </c>
    </row>
    <row r="15" spans="1:12" ht="23.25" customHeight="1">
      <c r="D15" s="12" t="s">
        <v>1426</v>
      </c>
      <c r="E15" s="274" t="s">
        <v>1399</v>
      </c>
      <c r="F15" s="276">
        <v>194730</v>
      </c>
      <c r="I15" s="421">
        <f>SUM(I13:I14)</f>
        <v>74127302.287900001</v>
      </c>
      <c r="K15" s="12" t="s">
        <v>1423</v>
      </c>
      <c r="L15" s="369">
        <v>6324322.5962836966</v>
      </c>
    </row>
    <row r="16" spans="1:12" ht="23.25" customHeight="1">
      <c r="D16" s="12" t="s">
        <v>1259</v>
      </c>
      <c r="E16" s="274" t="s">
        <v>1403</v>
      </c>
      <c r="F16" s="276">
        <v>183443</v>
      </c>
      <c r="K16" s="12" t="s">
        <v>1259</v>
      </c>
      <c r="L16" s="369">
        <v>4947248.1266697766</v>
      </c>
    </row>
    <row r="17" spans="4:12" ht="23.25" customHeight="1">
      <c r="D17" s="12" t="s">
        <v>1424</v>
      </c>
      <c r="E17" s="274" t="s">
        <v>1400</v>
      </c>
      <c r="F17" s="276">
        <v>225596</v>
      </c>
      <c r="K17" s="12" t="s">
        <v>1424</v>
      </c>
      <c r="L17" s="369">
        <v>4518306.2593321027</v>
      </c>
    </row>
    <row r="18" spans="4:12" ht="23.25" customHeight="1">
      <c r="D18" s="12" t="s">
        <v>1427</v>
      </c>
      <c r="E18" s="274" t="s">
        <v>1405</v>
      </c>
      <c r="F18" s="276">
        <v>66602.3</v>
      </c>
      <c r="K18" s="12" t="s">
        <v>1426</v>
      </c>
      <c r="L18" s="369">
        <v>24058971.067654528</v>
      </c>
    </row>
    <row r="19" spans="4:12" ht="23.25" customHeight="1">
      <c r="D19" s="12" t="s">
        <v>1426</v>
      </c>
      <c r="E19" s="274" t="s">
        <v>1401</v>
      </c>
      <c r="F19" s="276">
        <v>199674</v>
      </c>
      <c r="K19" s="12" t="s">
        <v>1425</v>
      </c>
      <c r="L19" s="369">
        <v>4689575.0651563443</v>
      </c>
    </row>
    <row r="20" spans="4:12" ht="23.25" customHeight="1">
      <c r="D20" s="12" t="s">
        <v>1422</v>
      </c>
      <c r="E20" s="275" t="s">
        <v>1398</v>
      </c>
      <c r="F20" s="276">
        <v>90665.4</v>
      </c>
    </row>
    <row r="21" spans="4:12" ht="23.25" customHeight="1">
      <c r="D21" s="12" t="s">
        <v>1427</v>
      </c>
      <c r="E21" s="338" t="s">
        <v>1605</v>
      </c>
      <c r="F21" s="276">
        <v>42374</v>
      </c>
    </row>
    <row r="22" spans="4:12" ht="23.25" customHeight="1">
      <c r="D22" s="12" t="s">
        <v>1427</v>
      </c>
      <c r="E22" s="338" t="s">
        <v>1606</v>
      </c>
      <c r="F22" s="276">
        <v>24620</v>
      </c>
      <c r="I22" s="1"/>
    </row>
    <row r="23" spans="4:12" ht="23.25" customHeight="1">
      <c r="D23" s="12" t="s">
        <v>1427</v>
      </c>
      <c r="E23" s="338" t="s">
        <v>1607</v>
      </c>
      <c r="F23" s="276">
        <v>18911</v>
      </c>
      <c r="I23" s="1"/>
    </row>
    <row r="24" spans="4:12" ht="23.25" customHeight="1">
      <c r="D24" s="12" t="s">
        <v>1427</v>
      </c>
      <c r="E24" s="338" t="s">
        <v>1395</v>
      </c>
      <c r="F24" s="276">
        <v>15520</v>
      </c>
      <c r="I24" s="1"/>
    </row>
    <row r="25" spans="4:12" ht="23.25" customHeight="1">
      <c r="D25" s="12" t="s">
        <v>1427</v>
      </c>
      <c r="E25" s="338" t="s">
        <v>729</v>
      </c>
      <c r="F25" s="276">
        <v>35190</v>
      </c>
      <c r="I25" s="1"/>
    </row>
    <row r="26" spans="4:12" ht="23.25" customHeight="1">
      <c r="D26" s="12" t="s">
        <v>1427</v>
      </c>
      <c r="E26" s="338" t="s">
        <v>1608</v>
      </c>
      <c r="F26" s="276">
        <v>14388</v>
      </c>
      <c r="I26" s="1"/>
    </row>
    <row r="27" spans="4:12" ht="23.25" customHeight="1">
      <c r="D27" s="12" t="s">
        <v>1427</v>
      </c>
      <c r="E27" s="338" t="s">
        <v>1396</v>
      </c>
      <c r="F27" s="276">
        <v>17507</v>
      </c>
      <c r="I27" s="1"/>
    </row>
    <row r="28" spans="4:12" ht="23.25" customHeight="1">
      <c r="D28" s="12" t="s">
        <v>1427</v>
      </c>
      <c r="E28" s="338" t="s">
        <v>1404</v>
      </c>
      <c r="F28" s="276">
        <v>11590</v>
      </c>
      <c r="I28" s="1"/>
    </row>
    <row r="29" spans="4:12" ht="23.25" customHeight="1">
      <c r="D29" s="12" t="s">
        <v>1427</v>
      </c>
      <c r="E29" s="338" t="s">
        <v>1402</v>
      </c>
      <c r="F29" s="276">
        <v>15824</v>
      </c>
    </row>
    <row r="30" spans="4:12" ht="23.25" customHeight="1">
      <c r="D30" s="12" t="s">
        <v>1427</v>
      </c>
      <c r="E30" s="338" t="s">
        <v>1397</v>
      </c>
      <c r="F30" s="276">
        <v>15013</v>
      </c>
    </row>
    <row r="31" spans="4:12" ht="23.25" customHeight="1">
      <c r="D31" s="12" t="s">
        <v>1423</v>
      </c>
      <c r="E31" s="338" t="s">
        <v>1609</v>
      </c>
      <c r="F31" s="276">
        <v>292247.3</v>
      </c>
    </row>
    <row r="32" spans="4:12" ht="23.25" customHeight="1">
      <c r="D32" s="12" t="s">
        <v>1427</v>
      </c>
      <c r="E32" s="338" t="s">
        <v>1610</v>
      </c>
      <c r="F32" s="276">
        <v>49779</v>
      </c>
    </row>
    <row r="33" spans="1:9" ht="23.25" customHeight="1">
      <c r="D33" s="12" t="s">
        <v>1427</v>
      </c>
      <c r="E33" s="338" t="s">
        <v>1611</v>
      </c>
      <c r="F33" s="276">
        <v>19598</v>
      </c>
    </row>
    <row r="34" spans="1:9" ht="23.25" customHeight="1">
      <c r="D34" s="12" t="s">
        <v>1427</v>
      </c>
      <c r="E34" s="338" t="s">
        <v>1612</v>
      </c>
      <c r="F34" s="276">
        <v>37782</v>
      </c>
    </row>
    <row r="35" spans="1:9" ht="23.25" customHeight="1">
      <c r="D35" s="12" t="s">
        <v>1427</v>
      </c>
      <c r="E35" s="338" t="s">
        <v>1613</v>
      </c>
      <c r="F35" s="276">
        <v>25459</v>
      </c>
    </row>
    <row r="36" spans="1:9" ht="23.25" customHeight="1">
      <c r="D36" s="12" t="s">
        <v>1427</v>
      </c>
      <c r="E36" s="338" t="s">
        <v>1614</v>
      </c>
      <c r="F36" s="276">
        <v>23729</v>
      </c>
    </row>
    <row r="37" spans="1:9" ht="23.25" customHeight="1">
      <c r="D37" s="12" t="s">
        <v>1427</v>
      </c>
      <c r="E37" s="338" t="s">
        <v>1615</v>
      </c>
      <c r="F37" s="276">
        <v>20620</v>
      </c>
    </row>
    <row r="38" spans="1:9" ht="23.25" customHeight="1">
      <c r="D38" s="12" t="s">
        <v>1424</v>
      </c>
      <c r="E38" s="338" t="s">
        <v>1602</v>
      </c>
      <c r="F38" s="276">
        <v>204361.34099999999</v>
      </c>
    </row>
    <row r="39" spans="1:9" ht="24.75" customHeight="1">
      <c r="A39" t="s">
        <v>1618</v>
      </c>
      <c r="B39" s="285" t="s">
        <v>253</v>
      </c>
      <c r="C39" s="290" t="s">
        <v>261</v>
      </c>
      <c r="D39" s="97"/>
      <c r="E39" s="292"/>
      <c r="F39" s="277">
        <v>8799</v>
      </c>
      <c r="I39" s="1"/>
    </row>
    <row r="40" spans="1:9">
      <c r="B40" s="286"/>
      <c r="C40" s="291"/>
      <c r="D40" s="97"/>
      <c r="E40" s="288" t="s">
        <v>1617</v>
      </c>
      <c r="F40" s="279"/>
      <c r="I40" s="1"/>
    </row>
    <row r="41" spans="1:9" ht="22.5">
      <c r="B41" s="286"/>
      <c r="C41" s="291"/>
      <c r="D41" s="12" t="s">
        <v>1427</v>
      </c>
      <c r="E41" s="280" t="s">
        <v>1367</v>
      </c>
      <c r="F41" s="279">
        <v>8799</v>
      </c>
      <c r="I41" s="1"/>
    </row>
    <row r="42" spans="1:9" ht="14.25">
      <c r="B42" s="285" t="s">
        <v>253</v>
      </c>
      <c r="C42" s="290" t="s">
        <v>326</v>
      </c>
      <c r="D42" s="97"/>
      <c r="E42" s="292"/>
      <c r="F42" s="281">
        <v>2983759.7</v>
      </c>
      <c r="I42" s="1"/>
    </row>
    <row r="43" spans="1:9" ht="15">
      <c r="B43" s="278"/>
      <c r="C43" s="287"/>
      <c r="D43" s="97"/>
      <c r="E43" s="288" t="s">
        <v>1617</v>
      </c>
      <c r="F43" s="282"/>
      <c r="I43" s="1"/>
    </row>
    <row r="44" spans="1:9" ht="22.5">
      <c r="B44" s="278"/>
      <c r="C44" s="287"/>
      <c r="D44" s="12" t="s">
        <v>1427</v>
      </c>
      <c r="E44" s="280" t="s">
        <v>1367</v>
      </c>
      <c r="F44" s="279">
        <v>198560</v>
      </c>
      <c r="I44" s="1"/>
    </row>
    <row r="45" spans="1:9" ht="15">
      <c r="B45" s="278"/>
      <c r="C45" s="287"/>
      <c r="D45" s="12" t="s">
        <v>1427</v>
      </c>
      <c r="E45" s="283" t="s">
        <v>1368</v>
      </c>
      <c r="F45" s="279">
        <v>602</v>
      </c>
      <c r="I45" s="1"/>
    </row>
    <row r="46" spans="1:9" ht="15">
      <c r="B46" s="278"/>
      <c r="C46" s="287"/>
      <c r="D46" s="12" t="s">
        <v>1427</v>
      </c>
      <c r="E46" s="283" t="s">
        <v>1369</v>
      </c>
      <c r="F46" s="279">
        <v>1599.6</v>
      </c>
    </row>
    <row r="47" spans="1:9" ht="15">
      <c r="B47" s="278"/>
      <c r="C47" s="287"/>
      <c r="D47" s="12" t="s">
        <v>1427</v>
      </c>
      <c r="E47" s="283" t="s">
        <v>1370</v>
      </c>
      <c r="F47" s="279">
        <v>1806</v>
      </c>
    </row>
    <row r="48" spans="1:9" ht="15">
      <c r="B48" s="278"/>
      <c r="C48" s="287"/>
      <c r="D48" s="12" t="s">
        <v>1427</v>
      </c>
      <c r="E48" s="283" t="s">
        <v>1371</v>
      </c>
      <c r="F48" s="279">
        <v>2408</v>
      </c>
    </row>
    <row r="49" spans="2:9" ht="15">
      <c r="B49" s="278"/>
      <c r="C49" s="287"/>
      <c r="D49" s="12" t="s">
        <v>1427</v>
      </c>
      <c r="E49" s="289" t="s">
        <v>1372</v>
      </c>
      <c r="F49" s="279">
        <v>21739.4</v>
      </c>
    </row>
    <row r="50" spans="2:9" ht="15">
      <c r="B50" s="278"/>
      <c r="C50" s="287"/>
      <c r="D50" s="12" t="s">
        <v>1427</v>
      </c>
      <c r="E50" s="289" t="s">
        <v>1373</v>
      </c>
      <c r="F50" s="279">
        <v>1539.4</v>
      </c>
    </row>
    <row r="51" spans="2:9" ht="15">
      <c r="B51" s="278"/>
      <c r="C51" s="287"/>
      <c r="D51" s="12" t="s">
        <v>1427</v>
      </c>
      <c r="E51" s="289" t="s">
        <v>1374</v>
      </c>
      <c r="F51" s="279">
        <v>20968.2</v>
      </c>
    </row>
    <row r="52" spans="2:9" ht="23.25">
      <c r="B52" s="278"/>
      <c r="C52" s="287"/>
      <c r="D52" s="12" t="s">
        <v>1427</v>
      </c>
      <c r="E52" s="289" t="s">
        <v>1375</v>
      </c>
      <c r="F52" s="279">
        <v>2132.8000000000002</v>
      </c>
    </row>
    <row r="53" spans="2:9" ht="15">
      <c r="B53" s="278"/>
      <c r="C53" s="287"/>
      <c r="D53" s="12" t="s">
        <v>1427</v>
      </c>
      <c r="E53" s="289" t="s">
        <v>1376</v>
      </c>
      <c r="F53" s="279">
        <v>1539.4</v>
      </c>
    </row>
    <row r="54" spans="2:9" ht="15">
      <c r="B54" s="278"/>
      <c r="C54" s="287"/>
      <c r="D54" s="12" t="s">
        <v>1427</v>
      </c>
      <c r="E54" s="289" t="s">
        <v>1377</v>
      </c>
      <c r="F54" s="279">
        <v>937.4</v>
      </c>
    </row>
    <row r="55" spans="2:9" ht="15">
      <c r="B55" s="278"/>
      <c r="C55" s="287"/>
      <c r="D55" s="12" t="s">
        <v>1427</v>
      </c>
      <c r="E55" s="289" t="s">
        <v>1378</v>
      </c>
      <c r="F55" s="279">
        <v>1599.6</v>
      </c>
    </row>
    <row r="56" spans="2:9" ht="15">
      <c r="B56" s="278"/>
      <c r="C56" s="287"/>
      <c r="D56" s="12" t="s">
        <v>1427</v>
      </c>
      <c r="E56" s="289" t="s">
        <v>1379</v>
      </c>
      <c r="F56" s="279">
        <v>2132.8000000000002</v>
      </c>
    </row>
    <row r="57" spans="2:9" ht="15">
      <c r="B57" s="278"/>
      <c r="C57" s="287"/>
      <c r="D57" s="12" t="s">
        <v>1427</v>
      </c>
      <c r="E57" s="289" t="s">
        <v>1380</v>
      </c>
      <c r="F57" s="279">
        <v>6107.6</v>
      </c>
    </row>
    <row r="58" spans="2:9" ht="23.25">
      <c r="B58" s="278"/>
      <c r="C58" s="287"/>
      <c r="D58" s="12" t="s">
        <v>1427</v>
      </c>
      <c r="E58" s="283" t="s">
        <v>1381</v>
      </c>
      <c r="F58" s="279">
        <v>100824</v>
      </c>
    </row>
    <row r="59" spans="2:9" ht="23.25">
      <c r="B59" s="278"/>
      <c r="C59" s="287"/>
      <c r="D59" s="12" t="s">
        <v>1427</v>
      </c>
      <c r="E59" s="289" t="s">
        <v>1382</v>
      </c>
      <c r="F59" s="279">
        <v>139463.29999999999</v>
      </c>
    </row>
    <row r="60" spans="2:9" ht="15">
      <c r="B60" s="278"/>
      <c r="C60" s="287"/>
      <c r="D60" s="12" t="s">
        <v>1259</v>
      </c>
      <c r="E60" s="289" t="s">
        <v>1383</v>
      </c>
      <c r="F60" s="279">
        <v>139463.29999999999</v>
      </c>
    </row>
    <row r="61" spans="2:9" ht="15">
      <c r="B61" s="278"/>
      <c r="C61" s="287"/>
      <c r="D61" s="12" t="s">
        <v>1259</v>
      </c>
      <c r="E61" s="289" t="s">
        <v>1384</v>
      </c>
      <c r="F61" s="279">
        <v>45712.9</v>
      </c>
    </row>
    <row r="62" spans="2:9" ht="23.25">
      <c r="B62" s="278"/>
      <c r="C62" s="287"/>
      <c r="D62" s="12" t="s">
        <v>1424</v>
      </c>
      <c r="E62" s="284" t="s">
        <v>1385</v>
      </c>
      <c r="F62" s="279">
        <v>321164.59999999998</v>
      </c>
    </row>
    <row r="63" spans="2:9" ht="15">
      <c r="B63" s="278"/>
      <c r="C63" s="287"/>
      <c r="D63" s="12" t="s">
        <v>1424</v>
      </c>
      <c r="E63" s="284" t="s">
        <v>1386</v>
      </c>
      <c r="F63" s="279">
        <v>76906.100000000006</v>
      </c>
    </row>
    <row r="64" spans="2:9" ht="23.25">
      <c r="B64" s="278"/>
      <c r="C64" s="287"/>
      <c r="D64" s="12" t="s">
        <v>1426</v>
      </c>
      <c r="E64" s="284" t="s">
        <v>1387</v>
      </c>
      <c r="F64" s="279">
        <v>944326.4</v>
      </c>
      <c r="I64" s="1"/>
    </row>
    <row r="65" spans="1:9" ht="23.25">
      <c r="B65" s="278"/>
      <c r="C65" s="287"/>
      <c r="D65" s="12" t="s">
        <v>1422</v>
      </c>
      <c r="E65" s="284" t="s">
        <v>1389</v>
      </c>
      <c r="F65" s="279">
        <v>368341.1</v>
      </c>
      <c r="I65" s="1"/>
    </row>
    <row r="66" spans="1:9" ht="23.25">
      <c r="B66" s="278"/>
      <c r="C66" s="287"/>
      <c r="D66" s="12" t="s">
        <v>1423</v>
      </c>
      <c r="E66" s="284" t="s">
        <v>1390</v>
      </c>
      <c r="F66" s="279">
        <v>248097.5</v>
      </c>
      <c r="I66" s="1"/>
    </row>
    <row r="67" spans="1:9" ht="23.25">
      <c r="B67" s="278"/>
      <c r="C67" s="287"/>
      <c r="D67" s="12" t="s">
        <v>1425</v>
      </c>
      <c r="E67" s="284" t="s">
        <v>1391</v>
      </c>
      <c r="F67" s="279">
        <v>225300.6</v>
      </c>
      <c r="I67" s="1"/>
    </row>
    <row r="68" spans="1:9" ht="23.25">
      <c r="B68" s="278"/>
      <c r="C68" s="287"/>
      <c r="D68" s="12" t="s">
        <v>1427</v>
      </c>
      <c r="E68" s="284" t="s">
        <v>1388</v>
      </c>
      <c r="F68" s="279">
        <v>110487.7</v>
      </c>
      <c r="I68" s="1"/>
    </row>
    <row r="69" spans="1:9" ht="60">
      <c r="A69" s="112" t="s">
        <v>637</v>
      </c>
      <c r="C69" s="331" t="s">
        <v>253</v>
      </c>
      <c r="D69" s="302"/>
      <c r="E69" s="339" t="s">
        <v>339</v>
      </c>
      <c r="F69" s="293">
        <f t="shared" ref="F69" si="2">F70+F104</f>
        <v>5846204.3000000007</v>
      </c>
      <c r="I69" s="1"/>
    </row>
    <row r="70" spans="1:9" ht="15">
      <c r="C70" s="332">
        <v>11</v>
      </c>
      <c r="D70" s="303"/>
      <c r="E70" s="340" t="s">
        <v>325</v>
      </c>
      <c r="F70" s="294">
        <f t="shared" ref="F70" si="3">SUM(F71:F103)</f>
        <v>163038.9</v>
      </c>
      <c r="I70" s="1"/>
    </row>
    <row r="71" spans="1:9" ht="24">
      <c r="D71" s="12" t="s">
        <v>1425</v>
      </c>
      <c r="E71" s="341" t="s">
        <v>1619</v>
      </c>
      <c r="F71" s="295">
        <v>7948</v>
      </c>
    </row>
    <row r="72" spans="1:9">
      <c r="D72" s="12" t="s">
        <v>1259</v>
      </c>
      <c r="E72" s="341" t="s">
        <v>1620</v>
      </c>
      <c r="F72" s="296">
        <v>3635</v>
      </c>
    </row>
    <row r="73" spans="1:9" ht="24">
      <c r="D73" s="12" t="s">
        <v>1259</v>
      </c>
      <c r="E73" s="342" t="s">
        <v>1621</v>
      </c>
      <c r="F73" s="296">
        <v>2617</v>
      </c>
    </row>
    <row r="74" spans="1:9" ht="24">
      <c r="D74" s="12" t="s">
        <v>1425</v>
      </c>
      <c r="E74" s="341" t="s">
        <v>1622</v>
      </c>
      <c r="F74" s="296">
        <v>8046.9</v>
      </c>
    </row>
    <row r="75" spans="1:9" ht="24">
      <c r="D75" s="12" t="s">
        <v>1427</v>
      </c>
      <c r="E75" s="341" t="s">
        <v>1623</v>
      </c>
      <c r="F75" s="296">
        <v>16952</v>
      </c>
    </row>
    <row r="76" spans="1:9" ht="24">
      <c r="D76" s="12" t="s">
        <v>1426</v>
      </c>
      <c r="E76" s="341" t="s">
        <v>1624</v>
      </c>
      <c r="F76" s="295">
        <v>18587</v>
      </c>
    </row>
    <row r="77" spans="1:9" ht="24">
      <c r="D77" s="12" t="s">
        <v>1426</v>
      </c>
      <c r="E77" s="342" t="s">
        <v>1625</v>
      </c>
      <c r="F77" s="296">
        <v>17204</v>
      </c>
    </row>
    <row r="78" spans="1:9" ht="24">
      <c r="D78" s="12" t="s">
        <v>1422</v>
      </c>
      <c r="E78" s="341" t="s">
        <v>1626</v>
      </c>
      <c r="F78" s="296">
        <v>10958</v>
      </c>
    </row>
    <row r="79" spans="1:9" ht="24">
      <c r="D79" s="97"/>
      <c r="E79" s="341" t="s">
        <v>1627</v>
      </c>
      <c r="F79" s="296">
        <v>8455</v>
      </c>
    </row>
    <row r="80" spans="1:9" ht="24">
      <c r="D80" s="12" t="s">
        <v>1424</v>
      </c>
      <c r="E80" s="341" t="s">
        <v>1628</v>
      </c>
      <c r="F80" s="296">
        <v>4932</v>
      </c>
    </row>
    <row r="81" spans="4:6" ht="24">
      <c r="D81" s="12" t="s">
        <v>1259</v>
      </c>
      <c r="E81" s="341" t="s">
        <v>1629</v>
      </c>
      <c r="F81" s="295">
        <v>3243</v>
      </c>
    </row>
    <row r="82" spans="4:6" ht="36">
      <c r="D82" s="12" t="s">
        <v>1259</v>
      </c>
      <c r="E82" s="342" t="s">
        <v>1630</v>
      </c>
      <c r="F82" s="296">
        <v>3434</v>
      </c>
    </row>
    <row r="83" spans="4:6">
      <c r="D83" s="12" t="s">
        <v>1259</v>
      </c>
      <c r="E83" s="342" t="s">
        <v>1631</v>
      </c>
      <c r="F83" s="295">
        <v>2680</v>
      </c>
    </row>
    <row r="84" spans="4:6">
      <c r="D84" s="12" t="s">
        <v>1259</v>
      </c>
      <c r="E84" s="342" t="s">
        <v>1632</v>
      </c>
      <c r="F84" s="296">
        <v>3234</v>
      </c>
    </row>
    <row r="85" spans="4:6">
      <c r="D85" s="12" t="s">
        <v>1427</v>
      </c>
      <c r="E85" s="343" t="s">
        <v>1633</v>
      </c>
      <c r="F85" s="297">
        <v>1542</v>
      </c>
    </row>
    <row r="86" spans="4:6">
      <c r="D86" s="12" t="s">
        <v>1427</v>
      </c>
      <c r="E86" s="343" t="s">
        <v>1634</v>
      </c>
      <c r="F86" s="297">
        <v>1459</v>
      </c>
    </row>
    <row r="87" spans="4:6">
      <c r="D87" s="12" t="s">
        <v>1427</v>
      </c>
      <c r="E87" s="343" t="s">
        <v>1635</v>
      </c>
      <c r="F87" s="297">
        <v>3941</v>
      </c>
    </row>
    <row r="88" spans="4:6">
      <c r="D88" s="12" t="s">
        <v>1427</v>
      </c>
      <c r="E88" s="343" t="s">
        <v>1636</v>
      </c>
      <c r="F88" s="297">
        <v>1189</v>
      </c>
    </row>
    <row r="89" spans="4:6">
      <c r="D89" s="12" t="s">
        <v>1427</v>
      </c>
      <c r="E89" s="343" t="s">
        <v>1637</v>
      </c>
      <c r="F89" s="297">
        <v>2278</v>
      </c>
    </row>
    <row r="90" spans="4:6">
      <c r="D90" s="12" t="s">
        <v>1427</v>
      </c>
      <c r="E90" s="343" t="s">
        <v>1638</v>
      </c>
      <c r="F90" s="297">
        <v>1641</v>
      </c>
    </row>
    <row r="91" spans="4:6">
      <c r="D91" s="12" t="s">
        <v>1427</v>
      </c>
      <c r="E91" s="343" t="s">
        <v>1639</v>
      </c>
      <c r="F91" s="297">
        <v>2446</v>
      </c>
    </row>
    <row r="92" spans="4:6">
      <c r="D92" s="12" t="s">
        <v>1427</v>
      </c>
      <c r="E92" s="343" t="s">
        <v>1640</v>
      </c>
      <c r="F92" s="297">
        <v>1324</v>
      </c>
    </row>
    <row r="93" spans="4:6">
      <c r="D93" s="12" t="s">
        <v>1427</v>
      </c>
      <c r="E93" s="343" t="s">
        <v>1641</v>
      </c>
      <c r="F93" s="297">
        <v>3162</v>
      </c>
    </row>
    <row r="94" spans="4:6">
      <c r="D94" s="12" t="s">
        <v>1427</v>
      </c>
      <c r="E94" s="343" t="s">
        <v>1642</v>
      </c>
      <c r="F94" s="297">
        <v>800</v>
      </c>
    </row>
    <row r="95" spans="4:6">
      <c r="D95" s="12" t="s">
        <v>1427</v>
      </c>
      <c r="E95" s="343" t="s">
        <v>1643</v>
      </c>
      <c r="F95" s="297">
        <v>1402</v>
      </c>
    </row>
    <row r="96" spans="4:6">
      <c r="D96" s="12" t="s">
        <v>1427</v>
      </c>
      <c r="E96" s="343" t="s">
        <v>1644</v>
      </c>
      <c r="F96" s="297">
        <v>1341</v>
      </c>
    </row>
    <row r="97" spans="3:8">
      <c r="D97" s="12" t="s">
        <v>1427</v>
      </c>
      <c r="E97" s="343" t="s">
        <v>1645</v>
      </c>
      <c r="F97" s="297">
        <v>938</v>
      </c>
    </row>
    <row r="98" spans="3:8">
      <c r="D98" s="12" t="s">
        <v>1427</v>
      </c>
      <c r="E98" s="343" t="s">
        <v>1646</v>
      </c>
      <c r="F98" s="297">
        <v>774</v>
      </c>
    </row>
    <row r="99" spans="3:8">
      <c r="D99" s="12" t="s">
        <v>1427</v>
      </c>
      <c r="E99" s="344" t="s">
        <v>1647</v>
      </c>
      <c r="F99" s="297">
        <v>4305</v>
      </c>
    </row>
    <row r="100" spans="3:8">
      <c r="D100" s="12" t="s">
        <v>1427</v>
      </c>
      <c r="E100" s="344" t="s">
        <v>1648</v>
      </c>
      <c r="F100" s="297">
        <v>824</v>
      </c>
    </row>
    <row r="101" spans="3:8">
      <c r="D101" s="12" t="s">
        <v>1427</v>
      </c>
      <c r="E101" s="344" t="s">
        <v>1649</v>
      </c>
      <c r="F101" s="297">
        <v>919</v>
      </c>
    </row>
    <row r="102" spans="3:8">
      <c r="D102" s="12" t="s">
        <v>1423</v>
      </c>
      <c r="E102" s="298" t="s">
        <v>1650</v>
      </c>
      <c r="F102" s="297">
        <v>10414</v>
      </c>
    </row>
    <row r="103" spans="3:8">
      <c r="D103" s="12" t="s">
        <v>1423</v>
      </c>
      <c r="E103" s="299" t="s">
        <v>1651</v>
      </c>
      <c r="F103" s="297">
        <v>10414</v>
      </c>
    </row>
    <row r="104" spans="3:8">
      <c r="C104">
        <v>15</v>
      </c>
      <c r="D104" s="97"/>
      <c r="E104" s="340" t="s">
        <v>327</v>
      </c>
      <c r="F104" s="294">
        <f>SUM(F105:F139)</f>
        <v>5683165.4000000004</v>
      </c>
    </row>
    <row r="105" spans="3:8" ht="24">
      <c r="D105" s="12" t="s">
        <v>1425</v>
      </c>
      <c r="E105" s="341" t="s">
        <v>1619</v>
      </c>
      <c r="F105" s="296">
        <v>255650.9</v>
      </c>
      <c r="H105" s="1"/>
    </row>
    <row r="106" spans="3:8">
      <c r="D106" s="12" t="s">
        <v>1259</v>
      </c>
      <c r="E106" s="341" t="s">
        <v>1620</v>
      </c>
      <c r="F106" s="296">
        <v>133141.79999999999</v>
      </c>
      <c r="H106" s="1"/>
    </row>
    <row r="107" spans="3:8" ht="24">
      <c r="D107" s="12" t="s">
        <v>1259</v>
      </c>
      <c r="E107" s="342" t="s">
        <v>1621</v>
      </c>
      <c r="F107" s="296">
        <v>104314</v>
      </c>
      <c r="H107" s="1"/>
    </row>
    <row r="108" spans="3:8" ht="24">
      <c r="D108" s="12" t="s">
        <v>1425</v>
      </c>
      <c r="E108" s="341" t="s">
        <v>1622</v>
      </c>
      <c r="F108" s="296">
        <v>298603</v>
      </c>
      <c r="H108" s="1"/>
    </row>
    <row r="109" spans="3:8" ht="24">
      <c r="D109" s="12" t="s">
        <v>1427</v>
      </c>
      <c r="E109" s="341" t="s">
        <v>1623</v>
      </c>
      <c r="F109" s="296">
        <v>590517.30000000005</v>
      </c>
      <c r="H109" s="1"/>
    </row>
    <row r="110" spans="3:8" ht="24">
      <c r="D110" s="12" t="s">
        <v>1426</v>
      </c>
      <c r="E110" s="341" t="s">
        <v>1624</v>
      </c>
      <c r="F110" s="296">
        <v>685541</v>
      </c>
      <c r="H110" s="1"/>
    </row>
    <row r="111" spans="3:8" ht="24">
      <c r="D111" s="12" t="s">
        <v>1426</v>
      </c>
      <c r="E111" s="342" t="s">
        <v>1625</v>
      </c>
      <c r="F111" s="296">
        <v>756190</v>
      </c>
      <c r="H111" s="1"/>
    </row>
    <row r="112" spans="3:8" ht="24">
      <c r="D112" s="12" t="s">
        <v>1422</v>
      </c>
      <c r="E112" s="341" t="s">
        <v>1626</v>
      </c>
      <c r="F112" s="296">
        <v>323674</v>
      </c>
    </row>
    <row r="113" spans="4:6" ht="24">
      <c r="D113" s="12" t="s">
        <v>1424</v>
      </c>
      <c r="E113" s="341" t="s">
        <v>1627</v>
      </c>
      <c r="F113" s="296">
        <v>320537</v>
      </c>
    </row>
    <row r="114" spans="4:6" ht="24">
      <c r="D114" s="12" t="s">
        <v>1424</v>
      </c>
      <c r="E114" s="341" t="s">
        <v>1628</v>
      </c>
      <c r="F114" s="296">
        <v>172329.9</v>
      </c>
    </row>
    <row r="115" spans="4:6" ht="24">
      <c r="D115" s="12" t="s">
        <v>1259</v>
      </c>
      <c r="E115" s="341" t="s">
        <v>1629</v>
      </c>
      <c r="F115" s="296">
        <v>99984.3</v>
      </c>
    </row>
    <row r="116" spans="4:6" ht="36">
      <c r="D116" s="12" t="s">
        <v>1259</v>
      </c>
      <c r="E116" s="342" t="s">
        <v>1630</v>
      </c>
      <c r="F116" s="296">
        <v>146014.70000000001</v>
      </c>
    </row>
    <row r="117" spans="4:6">
      <c r="D117" s="12" t="s">
        <v>1259</v>
      </c>
      <c r="E117" s="342" t="s">
        <v>1631</v>
      </c>
      <c r="F117" s="295">
        <v>103905</v>
      </c>
    </row>
    <row r="118" spans="4:6">
      <c r="D118" s="12" t="s">
        <v>1259</v>
      </c>
      <c r="E118" s="342" t="s">
        <v>1632</v>
      </c>
      <c r="F118" s="296">
        <v>127742</v>
      </c>
    </row>
    <row r="119" spans="4:6">
      <c r="D119" s="12" t="s">
        <v>1259</v>
      </c>
      <c r="E119" s="342" t="s">
        <v>1652</v>
      </c>
      <c r="F119" s="300">
        <v>4333</v>
      </c>
    </row>
    <row r="120" spans="4:6">
      <c r="D120" s="97" t="s">
        <v>1427</v>
      </c>
      <c r="E120" s="343" t="s">
        <v>1633</v>
      </c>
      <c r="F120" s="294">
        <v>52549</v>
      </c>
    </row>
    <row r="121" spans="4:6">
      <c r="D121" s="97" t="s">
        <v>1427</v>
      </c>
      <c r="E121" s="343" t="s">
        <v>1634</v>
      </c>
      <c r="F121" s="294">
        <v>28198</v>
      </c>
    </row>
    <row r="122" spans="4:6">
      <c r="D122" s="97" t="s">
        <v>1427</v>
      </c>
      <c r="E122" s="343" t="s">
        <v>1635</v>
      </c>
      <c r="F122" s="294">
        <v>41009</v>
      </c>
    </row>
    <row r="123" spans="4:6">
      <c r="D123" s="97" t="s">
        <v>1427</v>
      </c>
      <c r="E123" s="343" t="s">
        <v>1636</v>
      </c>
      <c r="F123" s="294">
        <v>156046</v>
      </c>
    </row>
    <row r="124" spans="4:6">
      <c r="D124" s="97" t="s">
        <v>1427</v>
      </c>
      <c r="E124" s="343" t="s">
        <v>1637</v>
      </c>
      <c r="F124" s="294">
        <v>50205</v>
      </c>
    </row>
    <row r="125" spans="4:6">
      <c r="D125" s="97" t="s">
        <v>1427</v>
      </c>
      <c r="E125" s="343" t="s">
        <v>1638</v>
      </c>
      <c r="F125" s="294">
        <v>45080</v>
      </c>
    </row>
    <row r="126" spans="4:6">
      <c r="D126" s="97" t="s">
        <v>1427</v>
      </c>
      <c r="E126" s="343" t="s">
        <v>1639</v>
      </c>
      <c r="F126" s="294">
        <v>29965</v>
      </c>
    </row>
    <row r="127" spans="4:6">
      <c r="D127" s="97" t="s">
        <v>1427</v>
      </c>
      <c r="E127" s="343" t="s">
        <v>1640</v>
      </c>
      <c r="F127" s="294">
        <v>50458</v>
      </c>
    </row>
    <row r="128" spans="4:6">
      <c r="D128" s="97" t="s">
        <v>1427</v>
      </c>
      <c r="E128" s="343" t="s">
        <v>1641</v>
      </c>
      <c r="F128" s="294">
        <v>172619</v>
      </c>
    </row>
    <row r="129" spans="1:6">
      <c r="D129" s="97" t="s">
        <v>1427</v>
      </c>
      <c r="E129" s="343" t="s">
        <v>1642</v>
      </c>
      <c r="F129" s="294">
        <v>21232</v>
      </c>
    </row>
    <row r="130" spans="1:6">
      <c r="D130" s="97" t="s">
        <v>1427</v>
      </c>
      <c r="E130" s="343" t="s">
        <v>1643</v>
      </c>
      <c r="F130" s="294">
        <v>57589</v>
      </c>
    </row>
    <row r="131" spans="1:6">
      <c r="D131" s="97" t="s">
        <v>1427</v>
      </c>
      <c r="E131" s="343" t="s">
        <v>1644</v>
      </c>
      <c r="F131" s="294">
        <v>11675</v>
      </c>
    </row>
    <row r="132" spans="1:6">
      <c r="D132" s="97" t="s">
        <v>1427</v>
      </c>
      <c r="E132" s="343" t="s">
        <v>1645</v>
      </c>
      <c r="F132" s="294">
        <v>26881</v>
      </c>
    </row>
    <row r="133" spans="1:6">
      <c r="D133" s="97" t="s">
        <v>1427</v>
      </c>
      <c r="E133" s="343" t="s">
        <v>1646</v>
      </c>
      <c r="F133" s="294">
        <v>60909</v>
      </c>
    </row>
    <row r="134" spans="1:6">
      <c r="D134" s="97" t="s">
        <v>1427</v>
      </c>
      <c r="E134" s="344" t="s">
        <v>1647</v>
      </c>
      <c r="F134" s="294">
        <v>59379</v>
      </c>
    </row>
    <row r="135" spans="1:6">
      <c r="D135" s="97" t="s">
        <v>1427</v>
      </c>
      <c r="E135" s="344" t="s">
        <v>1648</v>
      </c>
      <c r="F135" s="294">
        <v>23065</v>
      </c>
    </row>
    <row r="136" spans="1:6">
      <c r="D136" s="97" t="s">
        <v>1427</v>
      </c>
      <c r="E136" s="344" t="s">
        <v>1649</v>
      </c>
      <c r="F136" s="294">
        <v>19761</v>
      </c>
    </row>
    <row r="137" spans="1:6">
      <c r="D137" s="97" t="s">
        <v>1423</v>
      </c>
      <c r="E137" s="298" t="s">
        <v>1650</v>
      </c>
      <c r="F137" s="294">
        <f>288353+307+6981+10563.5</f>
        <v>306204.5</v>
      </c>
    </row>
    <row r="138" spans="1:6">
      <c r="D138" s="97" t="s">
        <v>1423</v>
      </c>
      <c r="E138" s="299" t="s">
        <v>1651</v>
      </c>
      <c r="F138" s="294">
        <v>307301</v>
      </c>
    </row>
    <row r="139" spans="1:6">
      <c r="D139" s="97"/>
      <c r="E139" s="301" t="s">
        <v>1653</v>
      </c>
      <c r="F139" s="294">
        <v>40562</v>
      </c>
    </row>
    <row r="140" spans="1:6" ht="60">
      <c r="A140" t="s">
        <v>1655</v>
      </c>
      <c r="D140" s="97"/>
      <c r="E140" s="345" t="s">
        <v>339</v>
      </c>
      <c r="F140" s="304">
        <f>F141+F165</f>
        <v>2887424.9445399996</v>
      </c>
    </row>
    <row r="141" spans="1:6">
      <c r="C141">
        <v>11</v>
      </c>
      <c r="D141" s="97"/>
      <c r="E141" s="345" t="s">
        <v>325</v>
      </c>
      <c r="F141" s="305">
        <f>SUM(F142:F164)</f>
        <v>162767.98317000002</v>
      </c>
    </row>
    <row r="142" spans="1:6">
      <c r="D142" s="97" t="s">
        <v>1427</v>
      </c>
      <c r="E142" s="346" t="s">
        <v>1654</v>
      </c>
      <c r="F142" s="306">
        <v>80220.983170000007</v>
      </c>
    </row>
    <row r="143" spans="1:6" ht="24">
      <c r="D143" s="97" t="s">
        <v>1426</v>
      </c>
      <c r="E143" s="346" t="s">
        <v>1345</v>
      </c>
      <c r="F143" s="306">
        <v>17861</v>
      </c>
    </row>
    <row r="144" spans="1:6" ht="24">
      <c r="D144" s="12" t="s">
        <v>1424</v>
      </c>
      <c r="E144" s="346" t="s">
        <v>1346</v>
      </c>
      <c r="F144" s="306">
        <v>2311</v>
      </c>
    </row>
    <row r="145" spans="4:8" ht="24">
      <c r="D145" s="12" t="s">
        <v>1424</v>
      </c>
      <c r="E145" s="346" t="s">
        <v>1347</v>
      </c>
      <c r="F145" s="306">
        <v>2666</v>
      </c>
      <c r="H145" s="1"/>
    </row>
    <row r="146" spans="4:8">
      <c r="D146" s="97"/>
      <c r="E146" s="346" t="s">
        <v>1350</v>
      </c>
      <c r="F146" s="306">
        <v>3857</v>
      </c>
      <c r="H146" s="1"/>
    </row>
    <row r="147" spans="4:8" ht="24">
      <c r="D147" s="97" t="s">
        <v>1259</v>
      </c>
      <c r="E147" s="346" t="s">
        <v>1349</v>
      </c>
      <c r="F147" s="306">
        <v>5177</v>
      </c>
      <c r="H147" s="1"/>
    </row>
    <row r="148" spans="4:8">
      <c r="D148" s="12" t="s">
        <v>1426</v>
      </c>
      <c r="E148" s="346" t="s">
        <v>1351</v>
      </c>
      <c r="F148" s="306">
        <v>973</v>
      </c>
      <c r="H148" s="1"/>
    </row>
    <row r="149" spans="4:8">
      <c r="D149" s="12" t="s">
        <v>1426</v>
      </c>
      <c r="E149" s="346" t="s">
        <v>1352</v>
      </c>
      <c r="F149" s="306">
        <v>995</v>
      </c>
      <c r="H149" s="1"/>
    </row>
    <row r="150" spans="4:8" ht="24">
      <c r="D150" s="97" t="s">
        <v>1259</v>
      </c>
      <c r="E150" s="346" t="s">
        <v>1354</v>
      </c>
      <c r="F150" s="306">
        <v>5002</v>
      </c>
      <c r="H150" s="1"/>
    </row>
    <row r="151" spans="4:8" ht="24">
      <c r="D151" s="97" t="s">
        <v>1259</v>
      </c>
      <c r="E151" s="346" t="s">
        <v>1353</v>
      </c>
      <c r="F151" s="306">
        <v>1555</v>
      </c>
      <c r="H151" s="1"/>
    </row>
    <row r="152" spans="4:8">
      <c r="D152" s="97" t="s">
        <v>1259</v>
      </c>
      <c r="E152" s="346" t="s">
        <v>1348</v>
      </c>
      <c r="F152" s="306">
        <v>4004</v>
      </c>
    </row>
    <row r="153" spans="4:8">
      <c r="D153" s="97" t="s">
        <v>1422</v>
      </c>
      <c r="E153" s="346" t="s">
        <v>1356</v>
      </c>
      <c r="F153" s="306">
        <v>9759</v>
      </c>
    </row>
    <row r="154" spans="4:8">
      <c r="D154" s="97" t="s">
        <v>1425</v>
      </c>
      <c r="E154" s="346" t="s">
        <v>1355</v>
      </c>
      <c r="F154" s="306">
        <v>11067</v>
      </c>
    </row>
    <row r="155" spans="4:8" ht="24">
      <c r="D155" s="97" t="s">
        <v>1427</v>
      </c>
      <c r="E155" s="346" t="s">
        <v>1360</v>
      </c>
      <c r="F155" s="306">
        <v>479</v>
      </c>
    </row>
    <row r="156" spans="4:8" ht="24">
      <c r="D156" s="97" t="s">
        <v>1427</v>
      </c>
      <c r="E156" s="346" t="s">
        <v>1359</v>
      </c>
      <c r="F156" s="306">
        <v>700</v>
      </c>
    </row>
    <row r="157" spans="4:8" ht="24">
      <c r="D157" s="97" t="s">
        <v>1427</v>
      </c>
      <c r="E157" s="346" t="s">
        <v>1364</v>
      </c>
      <c r="F157" s="306">
        <v>669</v>
      </c>
    </row>
    <row r="158" spans="4:8" ht="24">
      <c r="D158" s="97" t="s">
        <v>1427</v>
      </c>
      <c r="E158" s="346" t="s">
        <v>1365</v>
      </c>
      <c r="F158" s="306">
        <v>817</v>
      </c>
    </row>
    <row r="159" spans="4:8" ht="24">
      <c r="D159" s="97" t="s">
        <v>1427</v>
      </c>
      <c r="E159" s="346" t="s">
        <v>1363</v>
      </c>
      <c r="F159" s="306">
        <v>480</v>
      </c>
    </row>
    <row r="160" spans="4:8" ht="24">
      <c r="D160" s="97" t="s">
        <v>1427</v>
      </c>
      <c r="E160" s="346" t="s">
        <v>1362</v>
      </c>
      <c r="F160" s="306">
        <v>899</v>
      </c>
    </row>
    <row r="161" spans="3:8" ht="24">
      <c r="D161" s="97" t="s">
        <v>1427</v>
      </c>
      <c r="E161" s="346" t="s">
        <v>1361</v>
      </c>
      <c r="F161" s="306">
        <v>484</v>
      </c>
    </row>
    <row r="162" spans="3:8" ht="24">
      <c r="D162" s="97" t="s">
        <v>1427</v>
      </c>
      <c r="E162" s="346" t="s">
        <v>1358</v>
      </c>
      <c r="F162" s="306">
        <v>1597</v>
      </c>
    </row>
    <row r="163" spans="3:8">
      <c r="D163" s="97" t="s">
        <v>1427</v>
      </c>
      <c r="E163" s="346" t="s">
        <v>1366</v>
      </c>
      <c r="F163" s="306">
        <v>556</v>
      </c>
    </row>
    <row r="164" spans="3:8" ht="24">
      <c r="D164" s="97" t="s">
        <v>1423</v>
      </c>
      <c r="E164" s="346" t="s">
        <v>1357</v>
      </c>
      <c r="F164" s="306">
        <v>10639</v>
      </c>
    </row>
    <row r="165" spans="3:8">
      <c r="C165">
        <v>15</v>
      </c>
      <c r="D165" s="97"/>
      <c r="E165" s="345" t="s">
        <v>327</v>
      </c>
      <c r="F165" s="305">
        <f t="shared" ref="F165" si="4">SUM(F166:F187)</f>
        <v>2724656.9613699997</v>
      </c>
    </row>
    <row r="166" spans="3:8" ht="24">
      <c r="D166" s="12" t="s">
        <v>1426</v>
      </c>
      <c r="E166" s="346" t="s">
        <v>1345</v>
      </c>
      <c r="F166" s="306">
        <v>856850.80000000016</v>
      </c>
    </row>
    <row r="167" spans="3:8" ht="24">
      <c r="D167" s="12" t="s">
        <v>1424</v>
      </c>
      <c r="E167" s="346" t="s">
        <v>1346</v>
      </c>
      <c r="F167" s="306">
        <v>70091.849999999991</v>
      </c>
    </row>
    <row r="168" spans="3:8" ht="24">
      <c r="D168" s="12" t="s">
        <v>1424</v>
      </c>
      <c r="E168" s="346" t="s">
        <v>1347</v>
      </c>
      <c r="F168" s="306">
        <v>73426</v>
      </c>
    </row>
    <row r="169" spans="3:8">
      <c r="D169" s="12" t="s">
        <v>1259</v>
      </c>
      <c r="E169" s="346" t="s">
        <v>1350</v>
      </c>
      <c r="F169" s="306">
        <v>113211.03449999999</v>
      </c>
    </row>
    <row r="170" spans="3:8" ht="24">
      <c r="D170" s="12" t="s">
        <v>1259</v>
      </c>
      <c r="E170" s="346" t="s">
        <v>1349</v>
      </c>
      <c r="F170" s="306">
        <v>184965.09091000003</v>
      </c>
    </row>
    <row r="171" spans="3:8">
      <c r="D171" s="12" t="s">
        <v>1426</v>
      </c>
      <c r="E171" s="346" t="s">
        <v>1351</v>
      </c>
      <c r="F171" s="306">
        <v>27901.531580000006</v>
      </c>
    </row>
    <row r="172" spans="3:8">
      <c r="D172" s="12" t="s">
        <v>1426</v>
      </c>
      <c r="E172" s="346" t="s">
        <v>1352</v>
      </c>
      <c r="F172" s="306">
        <v>28982.012500000001</v>
      </c>
      <c r="H172" s="1"/>
    </row>
    <row r="173" spans="3:8" ht="24">
      <c r="D173" s="12" t="s">
        <v>1259</v>
      </c>
      <c r="E173" s="346" t="s">
        <v>1354</v>
      </c>
      <c r="F173" s="306">
        <v>164546.88</v>
      </c>
      <c r="H173" s="1"/>
    </row>
    <row r="174" spans="3:8" ht="24">
      <c r="D174" s="12" t="s">
        <v>1259</v>
      </c>
      <c r="E174" s="346" t="s">
        <v>1353</v>
      </c>
      <c r="F174" s="306">
        <v>44379.455419999998</v>
      </c>
      <c r="H174" s="1"/>
    </row>
    <row r="175" spans="3:8">
      <c r="D175" s="12" t="s">
        <v>1259</v>
      </c>
      <c r="E175" s="346" t="s">
        <v>1348</v>
      </c>
      <c r="F175" s="306">
        <v>144808.90400000001</v>
      </c>
      <c r="H175" s="1"/>
    </row>
    <row r="176" spans="3:8">
      <c r="D176" s="97" t="s">
        <v>1422</v>
      </c>
      <c r="E176" s="346" t="s">
        <v>1356</v>
      </c>
      <c r="F176" s="306">
        <v>263156.2622</v>
      </c>
      <c r="H176" s="1"/>
    </row>
    <row r="177" spans="1:8">
      <c r="D177" s="97" t="s">
        <v>1425</v>
      </c>
      <c r="E177" s="346" t="s">
        <v>1355</v>
      </c>
      <c r="F177" s="306">
        <v>286600.00900000002</v>
      </c>
      <c r="H177" s="1"/>
    </row>
    <row r="178" spans="1:8" ht="24">
      <c r="D178" s="97" t="s">
        <v>1427</v>
      </c>
      <c r="E178" s="346" t="s">
        <v>1360</v>
      </c>
      <c r="F178" s="306">
        <v>14291.998</v>
      </c>
      <c r="H178" s="1"/>
    </row>
    <row r="179" spans="1:8" ht="24">
      <c r="D179" s="97" t="s">
        <v>1427</v>
      </c>
      <c r="E179" s="346" t="s">
        <v>1359</v>
      </c>
      <c r="F179" s="306">
        <v>14244.999</v>
      </c>
    </row>
    <row r="180" spans="1:8" ht="24">
      <c r="D180" s="97" t="s">
        <v>1427</v>
      </c>
      <c r="E180" s="346" t="s">
        <v>1364</v>
      </c>
      <c r="F180" s="306">
        <v>18530.998800000005</v>
      </c>
    </row>
    <row r="181" spans="1:8" ht="24">
      <c r="D181" s="97" t="s">
        <v>1427</v>
      </c>
      <c r="E181" s="346" t="s">
        <v>1365</v>
      </c>
      <c r="F181" s="306">
        <v>51411.994999999995</v>
      </c>
    </row>
    <row r="182" spans="1:8" ht="24">
      <c r="D182" s="97" t="s">
        <v>1427</v>
      </c>
      <c r="E182" s="346" t="s">
        <v>1363</v>
      </c>
      <c r="F182" s="306">
        <v>14160.002000000002</v>
      </c>
    </row>
    <row r="183" spans="1:8" ht="24">
      <c r="D183" s="97" t="s">
        <v>1427</v>
      </c>
      <c r="E183" s="346" t="s">
        <v>1362</v>
      </c>
      <c r="F183" s="306">
        <v>14915.999200000006</v>
      </c>
    </row>
    <row r="184" spans="1:8" ht="24">
      <c r="D184" s="97" t="s">
        <v>1427</v>
      </c>
      <c r="E184" s="346" t="s">
        <v>1361</v>
      </c>
      <c r="F184" s="306">
        <v>10998.00056</v>
      </c>
    </row>
    <row r="185" spans="1:8" ht="24">
      <c r="D185" s="97" t="s">
        <v>1427</v>
      </c>
      <c r="E185" s="346" t="s">
        <v>1358</v>
      </c>
      <c r="F185" s="306">
        <v>33958</v>
      </c>
    </row>
    <row r="186" spans="1:8">
      <c r="D186" s="97" t="s">
        <v>1427</v>
      </c>
      <c r="E186" s="346" t="s">
        <v>1366</v>
      </c>
      <c r="F186" s="306">
        <v>52495.016000000011</v>
      </c>
    </row>
    <row r="187" spans="1:8" ht="24">
      <c r="D187" s="97" t="s">
        <v>1423</v>
      </c>
      <c r="E187" s="346" t="s">
        <v>1357</v>
      </c>
      <c r="F187" s="306">
        <v>240730.12269999992</v>
      </c>
    </row>
    <row r="188" spans="1:8" ht="14.25">
      <c r="A188" t="s">
        <v>1392</v>
      </c>
      <c r="D188" s="149" t="s">
        <v>1427</v>
      </c>
      <c r="E188" s="307" t="s">
        <v>1279</v>
      </c>
      <c r="F188" s="148">
        <v>4723.74</v>
      </c>
      <c r="G188" s="307"/>
      <c r="H188" s="308"/>
    </row>
    <row r="189" spans="1:8" ht="14.25">
      <c r="D189" s="150" t="s">
        <v>1427</v>
      </c>
      <c r="E189" s="307" t="s">
        <v>1280</v>
      </c>
      <c r="F189" s="148">
        <v>1388.04</v>
      </c>
      <c r="G189" s="307"/>
      <c r="H189" s="308"/>
    </row>
    <row r="190" spans="1:8" ht="14.25">
      <c r="D190" s="150" t="s">
        <v>1423</v>
      </c>
      <c r="E190" s="307" t="s">
        <v>1281</v>
      </c>
      <c r="F190" s="148">
        <v>12046.77</v>
      </c>
      <c r="G190" s="307"/>
      <c r="H190" s="308"/>
    </row>
    <row r="191" spans="1:8" ht="14.25" customHeight="1">
      <c r="D191" s="150" t="s">
        <v>1422</v>
      </c>
      <c r="E191" s="307" t="s">
        <v>1282</v>
      </c>
      <c r="F191" s="148">
        <v>12622.84</v>
      </c>
      <c r="G191" s="307"/>
      <c r="H191" s="308"/>
    </row>
    <row r="192" spans="1:8" ht="14.25" customHeight="1">
      <c r="D192" s="150" t="s">
        <v>1422</v>
      </c>
      <c r="E192" s="307" t="s">
        <v>1283</v>
      </c>
      <c r="F192" s="148">
        <v>8266.4699999999993</v>
      </c>
      <c r="G192" s="307"/>
      <c r="H192" s="308"/>
    </row>
    <row r="193" spans="4:8" ht="14.25" customHeight="1">
      <c r="D193" s="150" t="s">
        <v>1422</v>
      </c>
      <c r="E193" s="307" t="s">
        <v>1284</v>
      </c>
      <c r="F193" s="148">
        <v>10622.76</v>
      </c>
      <c r="G193" s="307"/>
      <c r="H193" s="308"/>
    </row>
    <row r="194" spans="4:8" ht="14.25" customHeight="1">
      <c r="D194" s="150" t="s">
        <v>1426</v>
      </c>
      <c r="E194" s="307" t="s">
        <v>1285</v>
      </c>
      <c r="F194" s="148">
        <v>19799.560000000001</v>
      </c>
      <c r="G194" s="307"/>
      <c r="H194" s="308"/>
    </row>
    <row r="195" spans="4:8" ht="14.25" customHeight="1">
      <c r="D195" s="150" t="s">
        <v>1426</v>
      </c>
      <c r="E195" s="307" t="s">
        <v>1286</v>
      </c>
      <c r="F195" s="148">
        <v>17663.39</v>
      </c>
      <c r="G195" s="307"/>
      <c r="H195" s="308"/>
    </row>
    <row r="196" spans="4:8" ht="14.25" customHeight="1">
      <c r="D196" s="150" t="s">
        <v>1424</v>
      </c>
      <c r="E196" s="307" t="s">
        <v>1287</v>
      </c>
      <c r="F196" s="148">
        <v>2669.04</v>
      </c>
      <c r="G196" s="307"/>
      <c r="H196" s="308"/>
    </row>
    <row r="197" spans="4:8" ht="14.25" customHeight="1">
      <c r="D197" s="150" t="s">
        <v>1424</v>
      </c>
      <c r="E197" s="307" t="s">
        <v>1288</v>
      </c>
      <c r="F197" s="148">
        <v>3104.53</v>
      </c>
      <c r="G197" s="307"/>
      <c r="H197" s="308"/>
    </row>
    <row r="198" spans="4:8" ht="14.25" customHeight="1">
      <c r="D198" s="150" t="s">
        <v>1424</v>
      </c>
      <c r="E198" s="307" t="s">
        <v>1289</v>
      </c>
      <c r="F198" s="148">
        <v>2051.75</v>
      </c>
      <c r="G198" s="307"/>
      <c r="H198" s="308"/>
    </row>
    <row r="199" spans="4:8" ht="14.25">
      <c r="D199" s="150" t="s">
        <v>1427</v>
      </c>
      <c r="E199" s="307" t="s">
        <v>1290</v>
      </c>
      <c r="F199" s="148">
        <v>2398.29</v>
      </c>
      <c r="G199" s="307"/>
      <c r="H199" s="308"/>
    </row>
    <row r="200" spans="4:8" ht="14.25" customHeight="1">
      <c r="D200" s="150" t="s">
        <v>1427</v>
      </c>
      <c r="E200" s="307" t="s">
        <v>1291</v>
      </c>
      <c r="F200" s="148">
        <v>1990.03</v>
      </c>
      <c r="G200" s="307"/>
      <c r="H200" s="308"/>
    </row>
    <row r="201" spans="4:8" ht="14.25" customHeight="1">
      <c r="D201" s="150" t="s">
        <v>1422</v>
      </c>
      <c r="E201" s="307" t="s">
        <v>1292</v>
      </c>
      <c r="F201" s="148">
        <v>2846.67</v>
      </c>
      <c r="G201" s="307"/>
      <c r="H201" s="308"/>
    </row>
    <row r="202" spans="4:8" ht="14.25" customHeight="1">
      <c r="D202" s="150" t="s">
        <v>1426</v>
      </c>
      <c r="E202" s="307" t="s">
        <v>1293</v>
      </c>
      <c r="F202" s="148">
        <v>1880.86</v>
      </c>
      <c r="G202" s="307"/>
      <c r="H202" s="308"/>
    </row>
    <row r="203" spans="4:8" ht="14.25" customHeight="1">
      <c r="D203" s="150" t="s">
        <v>1427</v>
      </c>
      <c r="E203" s="307" t="s">
        <v>1294</v>
      </c>
      <c r="F203" s="148">
        <v>3023.32</v>
      </c>
      <c r="G203" s="307"/>
      <c r="H203" s="308"/>
    </row>
    <row r="204" spans="4:8" ht="14.25" customHeight="1">
      <c r="D204" s="150" t="s">
        <v>1427</v>
      </c>
      <c r="E204" s="307" t="s">
        <v>1295</v>
      </c>
      <c r="F204" s="148">
        <v>405.1</v>
      </c>
      <c r="G204" s="307"/>
      <c r="H204" s="308"/>
    </row>
    <row r="205" spans="4:8" ht="14.25" customHeight="1">
      <c r="D205" s="150" t="s">
        <v>1422</v>
      </c>
      <c r="E205" s="307" t="s">
        <v>1296</v>
      </c>
      <c r="F205" s="148">
        <v>3760.09</v>
      </c>
      <c r="G205" s="307"/>
      <c r="H205" s="308"/>
    </row>
    <row r="206" spans="4:8" ht="14.25" customHeight="1">
      <c r="D206" s="150" t="s">
        <v>1426</v>
      </c>
      <c r="E206" s="307" t="s">
        <v>1297</v>
      </c>
      <c r="F206" s="148">
        <v>2845.43</v>
      </c>
      <c r="G206" s="307"/>
      <c r="H206" s="308"/>
    </row>
    <row r="207" spans="4:8" ht="14.25" customHeight="1">
      <c r="D207" s="150" t="s">
        <v>1259</v>
      </c>
      <c r="E207" s="307" t="s">
        <v>1298</v>
      </c>
      <c r="F207" s="148">
        <v>1357.51</v>
      </c>
      <c r="G207" s="307"/>
      <c r="H207" s="308"/>
    </row>
    <row r="208" spans="4:8" ht="14.25" customHeight="1">
      <c r="D208" s="150" t="s">
        <v>1259</v>
      </c>
      <c r="E208" s="307" t="s">
        <v>1299</v>
      </c>
      <c r="F208" s="148">
        <v>5533.3</v>
      </c>
      <c r="G208" s="307"/>
      <c r="H208" s="308"/>
    </row>
    <row r="209" spans="4:8" ht="14.25">
      <c r="D209" s="150" t="s">
        <v>1423</v>
      </c>
      <c r="E209" s="307" t="s">
        <v>1300</v>
      </c>
      <c r="F209" s="148">
        <v>10153.879999999999</v>
      </c>
      <c r="G209" s="307"/>
      <c r="H209" s="308"/>
    </row>
    <row r="210" spans="4:8" ht="14.25">
      <c r="D210" s="150" t="s">
        <v>1427</v>
      </c>
      <c r="E210" s="307" t="s">
        <v>1301</v>
      </c>
      <c r="F210" s="148">
        <v>3307.96</v>
      </c>
      <c r="G210" s="307"/>
      <c r="H210" s="308"/>
    </row>
    <row r="211" spans="4:8" ht="14.25" customHeight="1">
      <c r="D211" s="150" t="s">
        <v>1425</v>
      </c>
      <c r="E211" s="307" t="s">
        <v>1302</v>
      </c>
      <c r="F211" s="148">
        <v>9521.48</v>
      </c>
      <c r="G211" s="307"/>
      <c r="H211" s="308"/>
    </row>
    <row r="212" spans="4:8" ht="14.25" customHeight="1">
      <c r="D212" s="150" t="s">
        <v>1422</v>
      </c>
      <c r="E212" s="307" t="s">
        <v>1303</v>
      </c>
      <c r="F212" s="148">
        <v>13376.72</v>
      </c>
      <c r="G212" s="307"/>
      <c r="H212" s="308"/>
    </row>
    <row r="213" spans="4:8" ht="14.25" customHeight="1">
      <c r="D213" s="150" t="s">
        <v>1426</v>
      </c>
      <c r="E213" s="307" t="s">
        <v>1304</v>
      </c>
      <c r="F213" s="148">
        <v>1621.97</v>
      </c>
      <c r="G213" s="307"/>
      <c r="H213" s="308"/>
    </row>
    <row r="214" spans="4:8" ht="14.25" customHeight="1">
      <c r="D214" s="150" t="s">
        <v>1259</v>
      </c>
      <c r="E214" s="307" t="s">
        <v>1305</v>
      </c>
      <c r="F214" s="148">
        <v>1366.29</v>
      </c>
      <c r="G214" s="307"/>
      <c r="H214" s="308"/>
    </row>
    <row r="215" spans="4:8" ht="14.25">
      <c r="D215" s="149" t="s">
        <v>1427</v>
      </c>
      <c r="E215" s="307" t="s">
        <v>1279</v>
      </c>
      <c r="F215" s="148">
        <v>129841.91</v>
      </c>
      <c r="G215" s="307"/>
      <c r="H215" s="308"/>
    </row>
    <row r="216" spans="4:8" ht="14.25">
      <c r="D216" s="149" t="s">
        <v>1427</v>
      </c>
      <c r="E216" s="307" t="s">
        <v>1306</v>
      </c>
      <c r="F216" s="148">
        <v>43982.400000000001</v>
      </c>
      <c r="G216" s="307"/>
      <c r="H216" s="308"/>
    </row>
    <row r="217" spans="4:8" ht="14.25" customHeight="1">
      <c r="D217" s="149" t="s">
        <v>1423</v>
      </c>
      <c r="E217" s="307" t="s">
        <v>1307</v>
      </c>
      <c r="F217" s="148">
        <v>394943.55</v>
      </c>
      <c r="G217" s="307"/>
      <c r="H217" s="308"/>
    </row>
    <row r="218" spans="4:8" ht="14.25" customHeight="1">
      <c r="D218" s="149" t="s">
        <v>1422</v>
      </c>
      <c r="E218" s="307" t="s">
        <v>1282</v>
      </c>
      <c r="F218" s="148">
        <v>455446.81</v>
      </c>
      <c r="G218" s="307"/>
      <c r="H218" s="308"/>
    </row>
    <row r="219" spans="4:8" ht="14.25" customHeight="1">
      <c r="D219" s="149" t="s">
        <v>1422</v>
      </c>
      <c r="E219" s="307" t="s">
        <v>1283</v>
      </c>
      <c r="F219" s="148">
        <v>283417.5</v>
      </c>
      <c r="G219" s="307"/>
      <c r="H219" s="308"/>
    </row>
    <row r="220" spans="4:8" ht="14.25" customHeight="1">
      <c r="D220" s="149" t="s">
        <v>1422</v>
      </c>
      <c r="E220" s="307" t="s">
        <v>1284</v>
      </c>
      <c r="F220" s="148">
        <v>350698.95</v>
      </c>
      <c r="G220" s="307"/>
      <c r="H220" s="308"/>
    </row>
    <row r="221" spans="4:8" ht="14.25" customHeight="1">
      <c r="D221" s="149" t="s">
        <v>1426</v>
      </c>
      <c r="E221" s="307" t="s">
        <v>1285</v>
      </c>
      <c r="F221" s="148">
        <v>885738.22</v>
      </c>
      <c r="G221" s="307"/>
      <c r="H221" s="308"/>
    </row>
    <row r="222" spans="4:8" ht="14.25" customHeight="1">
      <c r="D222" s="149" t="s">
        <v>1426</v>
      </c>
      <c r="E222" s="307" t="s">
        <v>1286</v>
      </c>
      <c r="F222" s="148">
        <v>920452.39</v>
      </c>
      <c r="G222" s="307"/>
      <c r="H222" s="308"/>
    </row>
    <row r="223" spans="4:8" ht="14.25" customHeight="1">
      <c r="D223" s="149" t="s">
        <v>1424</v>
      </c>
      <c r="E223" s="307" t="s">
        <v>1287</v>
      </c>
      <c r="F223" s="148">
        <v>93458.25</v>
      </c>
      <c r="G223" s="307"/>
      <c r="H223" s="308"/>
    </row>
    <row r="224" spans="4:8" ht="14.25" customHeight="1">
      <c r="D224" s="149" t="s">
        <v>1424</v>
      </c>
      <c r="E224" s="307" t="s">
        <v>1288</v>
      </c>
      <c r="F224" s="148">
        <v>113459.95</v>
      </c>
      <c r="G224" s="307"/>
      <c r="H224" s="308"/>
    </row>
    <row r="225" spans="4:8" ht="14.25" customHeight="1">
      <c r="D225" s="149" t="s">
        <v>1424</v>
      </c>
      <c r="E225" s="307" t="s">
        <v>1289</v>
      </c>
      <c r="F225" s="148">
        <v>81499.42</v>
      </c>
      <c r="G225" s="307"/>
      <c r="H225" s="308"/>
    </row>
    <row r="226" spans="4:8" ht="14.25">
      <c r="D226" s="149" t="s">
        <v>1427</v>
      </c>
      <c r="E226" s="307" t="s">
        <v>1290</v>
      </c>
      <c r="F226" s="148">
        <v>93320.91</v>
      </c>
      <c r="G226" s="307"/>
      <c r="H226" s="308"/>
    </row>
    <row r="227" spans="4:8" ht="14.25" customHeight="1">
      <c r="D227" s="149" t="s">
        <v>1427</v>
      </c>
      <c r="E227" s="307" t="s">
        <v>1291</v>
      </c>
      <c r="F227" s="148">
        <v>63994.400000000001</v>
      </c>
      <c r="G227" s="307"/>
      <c r="H227" s="308"/>
    </row>
    <row r="228" spans="4:8" ht="14.25" customHeight="1">
      <c r="D228" s="149" t="s">
        <v>1422</v>
      </c>
      <c r="E228" s="307" t="s">
        <v>1292</v>
      </c>
      <c r="F228" s="148">
        <v>90705.279999999999</v>
      </c>
      <c r="G228" s="307"/>
      <c r="H228" s="308"/>
    </row>
    <row r="229" spans="4:8" ht="14.25" customHeight="1">
      <c r="D229" s="149" t="s">
        <v>1426</v>
      </c>
      <c r="E229" s="307" t="s">
        <v>1293</v>
      </c>
      <c r="F229" s="148">
        <v>86952.97</v>
      </c>
      <c r="G229" s="307"/>
      <c r="H229" s="308"/>
    </row>
    <row r="230" spans="4:8" ht="14.25" customHeight="1">
      <c r="D230" s="149" t="s">
        <v>1427</v>
      </c>
      <c r="E230" s="307" t="s">
        <v>1294</v>
      </c>
      <c r="F230" s="148">
        <v>104286.17</v>
      </c>
      <c r="G230" s="307"/>
      <c r="H230" s="308"/>
    </row>
    <row r="231" spans="4:8" ht="14.25" customHeight="1">
      <c r="D231" s="149" t="s">
        <v>1427</v>
      </c>
      <c r="E231" s="307" t="s">
        <v>1295</v>
      </c>
      <c r="F231" s="148">
        <v>16246.32</v>
      </c>
      <c r="G231" s="307"/>
      <c r="H231" s="308"/>
    </row>
    <row r="232" spans="4:8" ht="14.25" customHeight="1">
      <c r="D232" s="149" t="s">
        <v>1422</v>
      </c>
      <c r="E232" s="307" t="s">
        <v>1296</v>
      </c>
      <c r="F232" s="148">
        <v>107128.93</v>
      </c>
      <c r="G232" s="307"/>
      <c r="H232" s="308"/>
    </row>
    <row r="233" spans="4:8" ht="14.25" customHeight="1">
      <c r="D233" s="149" t="s">
        <v>1426</v>
      </c>
      <c r="E233" s="307" t="s">
        <v>1297</v>
      </c>
      <c r="F233" s="148">
        <v>124322.76</v>
      </c>
      <c r="G233" s="307"/>
      <c r="H233" s="308"/>
    </row>
    <row r="234" spans="4:8" ht="14.25" customHeight="1">
      <c r="D234" s="149" t="s">
        <v>1259</v>
      </c>
      <c r="E234" s="307" t="s">
        <v>1298</v>
      </c>
      <c r="F234" s="148">
        <v>66430.27</v>
      </c>
      <c r="G234" s="307"/>
      <c r="H234" s="308"/>
    </row>
    <row r="235" spans="4:8" ht="14.25" customHeight="1">
      <c r="D235" s="149" t="s">
        <v>1259</v>
      </c>
      <c r="E235" s="307" t="s">
        <v>1299</v>
      </c>
      <c r="F235" s="148">
        <v>230749.095</v>
      </c>
      <c r="G235" s="307"/>
      <c r="H235" s="308"/>
    </row>
    <row r="236" spans="4:8" ht="14.25">
      <c r="D236" s="149" t="s">
        <v>1423</v>
      </c>
      <c r="E236" s="307" t="s">
        <v>1300</v>
      </c>
      <c r="F236" s="148">
        <v>203152.42499999999</v>
      </c>
      <c r="G236" s="307"/>
      <c r="H236" s="308"/>
    </row>
    <row r="237" spans="4:8" ht="14.25">
      <c r="D237" s="149" t="s">
        <v>1427</v>
      </c>
      <c r="E237" s="307" t="s">
        <v>1301</v>
      </c>
      <c r="F237" s="148">
        <v>70359.948999999993</v>
      </c>
      <c r="G237" s="307"/>
      <c r="H237" s="308"/>
    </row>
    <row r="238" spans="4:8" ht="14.25" customHeight="1">
      <c r="D238" s="149" t="s">
        <v>1425</v>
      </c>
      <c r="E238" s="307" t="s">
        <v>1302</v>
      </c>
      <c r="F238" s="148">
        <v>291381.61599999998</v>
      </c>
      <c r="G238" s="307"/>
      <c r="H238" s="308"/>
    </row>
    <row r="239" spans="4:8" ht="14.25" customHeight="1">
      <c r="D239" s="149" t="s">
        <v>1422</v>
      </c>
      <c r="E239" s="307" t="s">
        <v>1303</v>
      </c>
      <c r="F239" s="148">
        <v>415328.54499999998</v>
      </c>
      <c r="G239" s="307"/>
      <c r="H239" s="308"/>
    </row>
    <row r="240" spans="4:8" ht="14.25">
      <c r="D240" s="149" t="s">
        <v>1427</v>
      </c>
      <c r="E240" s="307" t="s">
        <v>1308</v>
      </c>
      <c r="F240" s="148">
        <v>3394.835</v>
      </c>
      <c r="G240" s="307"/>
      <c r="H240" s="308"/>
    </row>
    <row r="241" spans="1:8" ht="14.25" customHeight="1">
      <c r="D241" s="149" t="s">
        <v>1426</v>
      </c>
      <c r="E241" s="307" t="s">
        <v>1304</v>
      </c>
      <c r="F241" s="148">
        <v>76917.7</v>
      </c>
      <c r="G241" s="307"/>
      <c r="H241" s="308"/>
    </row>
    <row r="242" spans="1:8" ht="14.25" customHeight="1">
      <c r="D242" s="149" t="s">
        <v>1259</v>
      </c>
      <c r="E242" s="307" t="s">
        <v>1305</v>
      </c>
      <c r="F242" s="148">
        <v>56194.803999999996</v>
      </c>
      <c r="G242" s="307"/>
      <c r="H242" s="308"/>
    </row>
    <row r="243" spans="1:8" ht="30">
      <c r="A243" t="s">
        <v>1687</v>
      </c>
      <c r="D243" s="149" t="s">
        <v>1425</v>
      </c>
      <c r="E243" s="347" t="s">
        <v>1473</v>
      </c>
      <c r="F243" s="151">
        <v>14472</v>
      </c>
      <c r="G243" s="147"/>
      <c r="H243" s="147"/>
    </row>
    <row r="244" spans="1:8" ht="30">
      <c r="D244" s="149" t="s">
        <v>1426</v>
      </c>
      <c r="E244" s="348" t="s">
        <v>1474</v>
      </c>
      <c r="F244" s="151">
        <v>20591</v>
      </c>
      <c r="G244" s="147"/>
      <c r="H244" s="147"/>
    </row>
    <row r="245" spans="1:8" ht="45">
      <c r="D245" s="147" t="s">
        <v>1422</v>
      </c>
      <c r="E245" s="347" t="s">
        <v>1475</v>
      </c>
      <c r="F245" s="151">
        <v>17385</v>
      </c>
      <c r="G245" s="147"/>
      <c r="H245" s="147"/>
    </row>
    <row r="246" spans="1:8" ht="45">
      <c r="D246" s="149" t="s">
        <v>1425</v>
      </c>
      <c r="E246" s="347" t="s">
        <v>1476</v>
      </c>
      <c r="F246" s="151">
        <v>14101</v>
      </c>
      <c r="G246" s="147"/>
      <c r="H246" s="147"/>
    </row>
    <row r="247" spans="1:8" ht="45">
      <c r="D247" s="147" t="s">
        <v>1423</v>
      </c>
      <c r="E247" s="347" t="s">
        <v>1477</v>
      </c>
      <c r="F247" s="151">
        <v>10825</v>
      </c>
      <c r="G247" s="147"/>
      <c r="H247" s="147"/>
    </row>
    <row r="248" spans="1:8" ht="30">
      <c r="D248" s="149" t="s">
        <v>1425</v>
      </c>
      <c r="E248" s="347" t="s">
        <v>1473</v>
      </c>
      <c r="F248" s="151">
        <v>656947.31599999999</v>
      </c>
      <c r="G248" s="147"/>
      <c r="H248" s="147"/>
    </row>
    <row r="249" spans="1:8" ht="30">
      <c r="D249" s="149" t="s">
        <v>1426</v>
      </c>
      <c r="E249" s="348" t="s">
        <v>1474</v>
      </c>
      <c r="F249" s="151">
        <v>1202279.5819999999</v>
      </c>
      <c r="G249" s="147"/>
      <c r="H249" s="147"/>
    </row>
    <row r="250" spans="1:8" ht="45">
      <c r="D250" s="147" t="s">
        <v>1422</v>
      </c>
      <c r="E250" s="347" t="s">
        <v>1475</v>
      </c>
      <c r="F250" s="151">
        <v>848427.54200000002</v>
      </c>
      <c r="G250" s="147"/>
      <c r="H250" s="147"/>
    </row>
    <row r="251" spans="1:8" ht="45">
      <c r="D251" s="149" t="s">
        <v>1425</v>
      </c>
      <c r="E251" s="347" t="s">
        <v>1476</v>
      </c>
      <c r="F251" s="151">
        <v>790657.36</v>
      </c>
      <c r="G251" s="147"/>
      <c r="H251" s="147"/>
    </row>
    <row r="252" spans="1:8" ht="45">
      <c r="D252" s="147" t="s">
        <v>1423</v>
      </c>
      <c r="E252" s="347" t="s">
        <v>1477</v>
      </c>
      <c r="F252" s="151">
        <v>378458.2</v>
      </c>
      <c r="G252" s="147"/>
      <c r="H252" s="147"/>
    </row>
    <row r="253" spans="1:8" ht="25.5">
      <c r="A253" t="s">
        <v>640</v>
      </c>
      <c r="C253">
        <v>11</v>
      </c>
      <c r="D253" s="97" t="s">
        <v>1427</v>
      </c>
      <c r="E253" s="349" t="s">
        <v>1656</v>
      </c>
      <c r="F253" s="309">
        <v>1302</v>
      </c>
    </row>
    <row r="254" spans="1:8" ht="25.5">
      <c r="D254" s="97" t="s">
        <v>1427</v>
      </c>
      <c r="E254" s="349" t="s">
        <v>1657</v>
      </c>
      <c r="F254" s="309">
        <v>1368</v>
      </c>
    </row>
    <row r="255" spans="1:8" ht="25.5">
      <c r="D255" s="97" t="s">
        <v>1427</v>
      </c>
      <c r="E255" s="349" t="s">
        <v>1658</v>
      </c>
      <c r="F255" s="309">
        <v>1457</v>
      </c>
    </row>
    <row r="256" spans="1:8" ht="25.5">
      <c r="D256" s="97" t="s">
        <v>1427</v>
      </c>
      <c r="E256" s="349" t="s">
        <v>1659</v>
      </c>
      <c r="F256" s="309">
        <v>1197</v>
      </c>
    </row>
    <row r="257" spans="4:10" ht="25.5">
      <c r="D257" s="97" t="s">
        <v>1427</v>
      </c>
      <c r="E257" s="349" t="s">
        <v>1660</v>
      </c>
      <c r="F257" s="309">
        <v>1667</v>
      </c>
    </row>
    <row r="258" spans="4:10" ht="25.5">
      <c r="D258" s="97" t="s">
        <v>1427</v>
      </c>
      <c r="E258" s="349" t="s">
        <v>1661</v>
      </c>
      <c r="F258" s="309">
        <v>1176</v>
      </c>
    </row>
    <row r="259" spans="4:10" ht="25.5">
      <c r="D259" s="97" t="s">
        <v>1427</v>
      </c>
      <c r="E259" s="349" t="s">
        <v>1662</v>
      </c>
      <c r="F259" s="309">
        <v>1484</v>
      </c>
    </row>
    <row r="260" spans="4:10" ht="25.5">
      <c r="D260" s="97" t="s">
        <v>1427</v>
      </c>
      <c r="E260" s="349" t="s">
        <v>1663</v>
      </c>
      <c r="F260" s="309">
        <v>2415</v>
      </c>
    </row>
    <row r="261" spans="4:10" ht="25.5">
      <c r="D261" s="97" t="s">
        <v>1427</v>
      </c>
      <c r="E261" s="349" t="s">
        <v>1664</v>
      </c>
      <c r="F261" s="309">
        <v>1288</v>
      </c>
    </row>
    <row r="262" spans="4:10" ht="25.5">
      <c r="D262" s="97" t="s">
        <v>1427</v>
      </c>
      <c r="E262" s="349" t="s">
        <v>1665</v>
      </c>
      <c r="F262" s="309">
        <v>2701</v>
      </c>
    </row>
    <row r="263" spans="4:10">
      <c r="D263" s="12" t="s">
        <v>1259</v>
      </c>
      <c r="E263" s="350" t="s">
        <v>1666</v>
      </c>
      <c r="F263" s="309">
        <v>4606</v>
      </c>
    </row>
    <row r="264" spans="4:10" ht="25.5">
      <c r="D264" s="12" t="s">
        <v>1426</v>
      </c>
      <c r="E264" s="349" t="s">
        <v>1667</v>
      </c>
      <c r="F264" s="309">
        <v>2144</v>
      </c>
    </row>
    <row r="265" spans="4:10" ht="25.5">
      <c r="D265" s="12" t="s">
        <v>1426</v>
      </c>
      <c r="E265" s="349" t="s">
        <v>1668</v>
      </c>
      <c r="F265" s="309">
        <v>1681</v>
      </c>
    </row>
    <row r="266" spans="4:10" ht="25.5">
      <c r="D266" s="97" t="s">
        <v>1259</v>
      </c>
      <c r="E266" s="349" t="s">
        <v>1669</v>
      </c>
      <c r="F266" s="309">
        <v>4701</v>
      </c>
    </row>
    <row r="267" spans="4:10" ht="25.5">
      <c r="D267" s="12" t="s">
        <v>1259</v>
      </c>
      <c r="E267" s="349" t="s">
        <v>1670</v>
      </c>
      <c r="F267" s="309">
        <v>2279</v>
      </c>
    </row>
    <row r="268" spans="4:10" ht="25.5">
      <c r="D268" s="97" t="s">
        <v>1259</v>
      </c>
      <c r="E268" s="349" t="s">
        <v>1671</v>
      </c>
      <c r="F268" s="309">
        <v>3666</v>
      </c>
    </row>
    <row r="269" spans="4:10" ht="25.5">
      <c r="D269" s="12" t="s">
        <v>1259</v>
      </c>
      <c r="E269" s="349" t="s">
        <v>1672</v>
      </c>
      <c r="F269" s="309">
        <v>5256</v>
      </c>
      <c r="J269" s="1"/>
    </row>
    <row r="270" spans="4:10" ht="25.5">
      <c r="D270" s="12" t="s">
        <v>1259</v>
      </c>
      <c r="E270" s="349" t="s">
        <v>1673</v>
      </c>
      <c r="F270" s="309">
        <v>4130</v>
      </c>
      <c r="J270" s="1"/>
    </row>
    <row r="271" spans="4:10" ht="25.5">
      <c r="D271" s="12" t="s">
        <v>1259</v>
      </c>
      <c r="E271" s="349" t="s">
        <v>1674</v>
      </c>
      <c r="F271" s="309">
        <v>1843</v>
      </c>
      <c r="J271" s="1"/>
    </row>
    <row r="272" spans="4:10">
      <c r="D272" s="97" t="s">
        <v>1259</v>
      </c>
      <c r="E272" s="350" t="s">
        <v>1675</v>
      </c>
      <c r="F272" s="309">
        <v>4704</v>
      </c>
      <c r="J272" s="1"/>
    </row>
    <row r="273" spans="3:10" ht="25.5">
      <c r="D273" s="12" t="s">
        <v>1259</v>
      </c>
      <c r="E273" s="349" t="s">
        <v>1676</v>
      </c>
      <c r="F273" s="309">
        <v>21675</v>
      </c>
      <c r="J273" s="1"/>
    </row>
    <row r="274" spans="3:10" ht="25.5">
      <c r="D274" s="97" t="s">
        <v>1424</v>
      </c>
      <c r="E274" s="349" t="s">
        <v>1677</v>
      </c>
      <c r="F274" s="309">
        <v>6715</v>
      </c>
      <c r="J274" s="1"/>
    </row>
    <row r="275" spans="3:10" ht="25.5">
      <c r="D275" s="97" t="s">
        <v>1424</v>
      </c>
      <c r="E275" s="349" t="s">
        <v>1311</v>
      </c>
      <c r="F275" s="309">
        <v>5925</v>
      </c>
      <c r="J275" s="1"/>
    </row>
    <row r="276" spans="3:10">
      <c r="D276" s="97" t="s">
        <v>1427</v>
      </c>
      <c r="E276" s="349" t="s">
        <v>1678</v>
      </c>
      <c r="F276" s="309">
        <f>153193-6.18578</f>
        <v>153186.81422</v>
      </c>
    </row>
    <row r="277" spans="3:10" ht="25.5">
      <c r="D277" s="97" t="s">
        <v>1425</v>
      </c>
      <c r="E277" s="349" t="s">
        <v>1679</v>
      </c>
      <c r="F277" s="309">
        <v>22675</v>
      </c>
    </row>
    <row r="278" spans="3:10">
      <c r="D278" s="97" t="s">
        <v>1427</v>
      </c>
      <c r="E278" s="349" t="s">
        <v>1680</v>
      </c>
      <c r="F278" s="309">
        <v>917</v>
      </c>
    </row>
    <row r="279" spans="3:10" ht="25.5">
      <c r="D279" s="97" t="s">
        <v>1422</v>
      </c>
      <c r="E279" s="349" t="s">
        <v>1681</v>
      </c>
      <c r="F279" s="309">
        <v>17136</v>
      </c>
    </row>
    <row r="280" spans="3:10" ht="25.5">
      <c r="D280" s="97" t="s">
        <v>1427</v>
      </c>
      <c r="E280" s="349" t="s">
        <v>1479</v>
      </c>
      <c r="F280" s="309">
        <v>2797</v>
      </c>
    </row>
    <row r="281" spans="3:10" ht="25.5">
      <c r="D281" s="97" t="s">
        <v>1423</v>
      </c>
      <c r="E281" s="349" t="s">
        <v>1682</v>
      </c>
      <c r="F281" s="309">
        <v>12260</v>
      </c>
    </row>
    <row r="282" spans="3:10" ht="25.5">
      <c r="C282">
        <v>15</v>
      </c>
      <c r="D282" s="97" t="s">
        <v>1427</v>
      </c>
      <c r="E282" s="349" t="s">
        <v>1656</v>
      </c>
      <c r="F282" s="310">
        <v>36570</v>
      </c>
    </row>
    <row r="283" spans="3:10" ht="25.5">
      <c r="D283" s="97" t="s">
        <v>1427</v>
      </c>
      <c r="E283" s="349" t="s">
        <v>1657</v>
      </c>
      <c r="F283" s="310">
        <v>48348</v>
      </c>
    </row>
    <row r="284" spans="3:10" ht="25.5">
      <c r="D284" s="97" t="s">
        <v>1427</v>
      </c>
      <c r="E284" s="349" t="s">
        <v>1658</v>
      </c>
      <c r="F284" s="310">
        <f>27136-0.76694</f>
        <v>27135.233059999999</v>
      </c>
    </row>
    <row r="285" spans="3:10" ht="25.5">
      <c r="D285" s="97" t="s">
        <v>1427</v>
      </c>
      <c r="E285" s="349" t="s">
        <v>1659</v>
      </c>
      <c r="F285" s="310">
        <v>49016</v>
      </c>
    </row>
    <row r="286" spans="3:10" ht="25.5">
      <c r="D286" s="97" t="s">
        <v>1427</v>
      </c>
      <c r="E286" s="349" t="s">
        <v>1660</v>
      </c>
      <c r="F286" s="310">
        <v>35448</v>
      </c>
    </row>
    <row r="287" spans="3:10" ht="25.5">
      <c r="D287" s="97" t="s">
        <v>1427</v>
      </c>
      <c r="E287" s="349" t="s">
        <v>1661</v>
      </c>
      <c r="F287" s="310">
        <f>38374-0.83701</f>
        <v>38373.162989999997</v>
      </c>
    </row>
    <row r="288" spans="3:10" ht="25.5">
      <c r="D288" s="97" t="s">
        <v>1427</v>
      </c>
      <c r="E288" s="349" t="s">
        <v>1662</v>
      </c>
      <c r="F288" s="310">
        <v>33013</v>
      </c>
    </row>
    <row r="289" spans="4:6" ht="25.5">
      <c r="D289" s="97" t="s">
        <v>1427</v>
      </c>
      <c r="E289" s="349" t="s">
        <v>1663</v>
      </c>
      <c r="F289" s="310">
        <v>52149</v>
      </c>
    </row>
    <row r="290" spans="4:6" ht="25.5">
      <c r="D290" s="97" t="s">
        <v>1427</v>
      </c>
      <c r="E290" s="349" t="s">
        <v>1664</v>
      </c>
      <c r="F290" s="310">
        <v>27331</v>
      </c>
    </row>
    <row r="291" spans="4:6" ht="25.5">
      <c r="D291" s="97" t="s">
        <v>1427</v>
      </c>
      <c r="E291" s="349" t="s">
        <v>1665</v>
      </c>
      <c r="F291" s="310">
        <v>51110</v>
      </c>
    </row>
    <row r="292" spans="4:6" ht="25.5">
      <c r="D292" s="97" t="s">
        <v>1427</v>
      </c>
      <c r="E292" s="349" t="s">
        <v>1666</v>
      </c>
      <c r="F292" s="310">
        <f>157970-1.03609</f>
        <v>157968.96390999999</v>
      </c>
    </row>
    <row r="293" spans="4:6" ht="25.5">
      <c r="D293" s="97" t="s">
        <v>1426</v>
      </c>
      <c r="E293" s="349" t="s">
        <v>1667</v>
      </c>
      <c r="F293" s="310">
        <f>54017-0.133</f>
        <v>54016.866999999998</v>
      </c>
    </row>
    <row r="294" spans="4:6" ht="25.5">
      <c r="D294" s="97" t="s">
        <v>1426</v>
      </c>
      <c r="E294" s="349" t="s">
        <v>1668</v>
      </c>
      <c r="F294" s="310">
        <f>51669-0.76694</f>
        <v>51668.233059999999</v>
      </c>
    </row>
    <row r="295" spans="4:6" ht="25.5">
      <c r="D295" s="97" t="s">
        <v>1426</v>
      </c>
      <c r="E295" s="349" t="s">
        <v>1669</v>
      </c>
      <c r="F295" s="310">
        <v>147348</v>
      </c>
    </row>
    <row r="296" spans="4:6" ht="25.5">
      <c r="D296" s="97" t="s">
        <v>1426</v>
      </c>
      <c r="E296" s="349" t="s">
        <v>1670</v>
      </c>
      <c r="F296" s="310">
        <f>61408-3.06579</f>
        <v>61404.934209999999</v>
      </c>
    </row>
    <row r="297" spans="4:6" ht="25.5">
      <c r="D297" s="97" t="s">
        <v>1259</v>
      </c>
      <c r="E297" s="349" t="s">
        <v>1671</v>
      </c>
      <c r="F297" s="310">
        <f>162274-0.83701</f>
        <v>162273.16299000001</v>
      </c>
    </row>
    <row r="298" spans="4:6" ht="25.5">
      <c r="D298" s="97" t="s">
        <v>1426</v>
      </c>
      <c r="E298" s="349" t="s">
        <v>1672</v>
      </c>
      <c r="F298" s="310">
        <f>173174</f>
        <v>173174</v>
      </c>
    </row>
    <row r="299" spans="4:6" ht="25.5">
      <c r="D299" s="97" t="s">
        <v>1426</v>
      </c>
      <c r="E299" s="349" t="s">
        <v>1673</v>
      </c>
      <c r="F299" s="310">
        <f>157980</f>
        <v>157980</v>
      </c>
    </row>
    <row r="300" spans="4:6" ht="25.5">
      <c r="D300" s="97" t="s">
        <v>1426</v>
      </c>
      <c r="E300" s="349" t="s">
        <v>1674</v>
      </c>
      <c r="F300" s="310">
        <f>62155-0.26415</f>
        <v>62154.735849999997</v>
      </c>
    </row>
    <row r="301" spans="4:6" ht="25.5">
      <c r="D301" s="97" t="s">
        <v>1259</v>
      </c>
      <c r="E301" s="349" t="s">
        <v>1675</v>
      </c>
      <c r="F301" s="310">
        <v>167634</v>
      </c>
    </row>
    <row r="302" spans="4:6" ht="25.5">
      <c r="D302" s="97" t="s">
        <v>1426</v>
      </c>
      <c r="E302" s="349" t="s">
        <v>1676</v>
      </c>
      <c r="F302" s="310">
        <f>1096000-1.68101</f>
        <v>1095998.3189900001</v>
      </c>
    </row>
    <row r="303" spans="4:6" ht="25.5">
      <c r="D303" s="97" t="s">
        <v>1424</v>
      </c>
      <c r="E303" s="349" t="s">
        <v>1677</v>
      </c>
      <c r="F303" s="310">
        <f>288157-0.943</f>
        <v>288156.05699999997</v>
      </c>
    </row>
    <row r="304" spans="4:6" ht="25.5">
      <c r="D304" s="97" t="s">
        <v>1424</v>
      </c>
      <c r="E304" s="349" t="s">
        <v>1311</v>
      </c>
      <c r="F304" s="310">
        <v>120000</v>
      </c>
    </row>
    <row r="305" spans="1:6">
      <c r="D305" s="97" t="s">
        <v>1427</v>
      </c>
      <c r="E305" s="349" t="s">
        <v>1678</v>
      </c>
      <c r="F305" s="310">
        <f>128674-0.1941</f>
        <v>128673.80590000001</v>
      </c>
    </row>
    <row r="306" spans="1:6" ht="25.5">
      <c r="D306" s="97" t="s">
        <v>1427</v>
      </c>
      <c r="E306" s="349" t="s">
        <v>1679</v>
      </c>
      <c r="F306" s="310">
        <f>660212-3.68309+1.59882</f>
        <v>660209.91573000001</v>
      </c>
    </row>
    <row r="307" spans="1:6">
      <c r="D307" s="97" t="s">
        <v>1427</v>
      </c>
      <c r="E307" s="349" t="s">
        <v>1680</v>
      </c>
      <c r="F307" s="310">
        <v>36439</v>
      </c>
    </row>
    <row r="308" spans="1:6" ht="25.5">
      <c r="D308" s="97" t="s">
        <v>1422</v>
      </c>
      <c r="E308" s="349" t="s">
        <v>1681</v>
      </c>
      <c r="F308" s="310">
        <v>547292</v>
      </c>
    </row>
    <row r="309" spans="1:6" ht="25.5">
      <c r="D309" s="97" t="s">
        <v>1427</v>
      </c>
      <c r="E309" s="349" t="s">
        <v>1479</v>
      </c>
      <c r="F309" s="310">
        <v>102700</v>
      </c>
    </row>
    <row r="310" spans="1:6" ht="25.5">
      <c r="D310" s="97" t="s">
        <v>1423</v>
      </c>
      <c r="E310" s="349" t="s">
        <v>1682</v>
      </c>
      <c r="F310" s="310">
        <v>446652</v>
      </c>
    </row>
    <row r="311" spans="1:6" ht="38.25">
      <c r="D311" s="97" t="s">
        <v>1423</v>
      </c>
      <c r="E311" s="349" t="s">
        <v>1683</v>
      </c>
      <c r="F311" s="310">
        <v>16200</v>
      </c>
    </row>
    <row r="312" spans="1:6" ht="25.5">
      <c r="D312" s="97" t="s">
        <v>1427</v>
      </c>
      <c r="E312" s="349" t="s">
        <v>1684</v>
      </c>
      <c r="F312" s="310">
        <v>25277</v>
      </c>
    </row>
    <row r="313" spans="1:6" ht="25.5">
      <c r="D313" s="97" t="s">
        <v>1427</v>
      </c>
      <c r="E313" s="349" t="s">
        <v>1684</v>
      </c>
      <c r="F313" s="310">
        <v>1037538</v>
      </c>
    </row>
    <row r="314" spans="1:6">
      <c r="D314" s="97" t="s">
        <v>1427</v>
      </c>
      <c r="E314" s="349" t="s">
        <v>1685</v>
      </c>
      <c r="F314" s="310">
        <v>91941</v>
      </c>
    </row>
    <row r="315" spans="1:6">
      <c r="D315" s="97" t="s">
        <v>1427</v>
      </c>
      <c r="E315" s="349" t="s">
        <v>1686</v>
      </c>
      <c r="F315" s="310">
        <v>75800</v>
      </c>
    </row>
    <row r="316" spans="1:6" ht="23.25" customHeight="1">
      <c r="A316" t="s">
        <v>1317</v>
      </c>
      <c r="C316" s="333" t="s">
        <v>261</v>
      </c>
      <c r="D316" s="312"/>
      <c r="E316" s="351"/>
      <c r="F316" s="313">
        <f>SUM(F317:F344)</f>
        <v>314647.32700000005</v>
      </c>
    </row>
    <row r="317" spans="1:6" ht="15">
      <c r="D317" s="97" t="s">
        <v>1427</v>
      </c>
      <c r="E317" s="365" t="s">
        <v>1688</v>
      </c>
      <c r="F317" s="311">
        <v>232461.99600000001</v>
      </c>
    </row>
    <row r="318" spans="1:6" ht="15">
      <c r="D318" s="97" t="s">
        <v>1424</v>
      </c>
      <c r="E318" s="365" t="s">
        <v>1318</v>
      </c>
      <c r="F318" s="311">
        <v>3754</v>
      </c>
    </row>
    <row r="319" spans="1:6" ht="25.5">
      <c r="D319" s="97" t="s">
        <v>1259</v>
      </c>
      <c r="E319" s="365" t="s">
        <v>1319</v>
      </c>
      <c r="F319" s="311">
        <v>4120.3310000000001</v>
      </c>
    </row>
    <row r="320" spans="1:6" ht="15">
      <c r="D320" s="97" t="s">
        <v>1259</v>
      </c>
      <c r="E320" s="365" t="s">
        <v>1320</v>
      </c>
      <c r="F320" s="311">
        <v>2496</v>
      </c>
    </row>
    <row r="321" spans="4:6" ht="25.5">
      <c r="D321" s="97" t="s">
        <v>1259</v>
      </c>
      <c r="E321" s="365" t="s">
        <v>1321</v>
      </c>
      <c r="F321" s="311">
        <v>2491</v>
      </c>
    </row>
    <row r="322" spans="4:6" ht="15">
      <c r="D322" s="97" t="s">
        <v>1259</v>
      </c>
      <c r="E322" s="365" t="s">
        <v>1322</v>
      </c>
      <c r="F322" s="311">
        <v>1573</v>
      </c>
    </row>
    <row r="323" spans="4:6" ht="25.5">
      <c r="D323" s="97" t="s">
        <v>1424</v>
      </c>
      <c r="E323" s="365" t="s">
        <v>1323</v>
      </c>
      <c r="F323" s="311">
        <v>3226</v>
      </c>
    </row>
    <row r="324" spans="4:6" ht="15">
      <c r="D324" s="97" t="s">
        <v>1259</v>
      </c>
      <c r="E324" s="365" t="s">
        <v>1324</v>
      </c>
      <c r="F324" s="311">
        <v>1857</v>
      </c>
    </row>
    <row r="325" spans="4:6" ht="15">
      <c r="D325" s="97" t="s">
        <v>1259</v>
      </c>
      <c r="E325" s="365" t="s">
        <v>1325</v>
      </c>
      <c r="F325" s="311">
        <v>1552</v>
      </c>
    </row>
    <row r="326" spans="4:6" ht="25.5">
      <c r="D326" s="97" t="s">
        <v>1426</v>
      </c>
      <c r="E326" s="365" t="s">
        <v>1326</v>
      </c>
      <c r="F326" s="311">
        <v>16670</v>
      </c>
    </row>
    <row r="327" spans="4:6" ht="15">
      <c r="D327" s="97" t="s">
        <v>1425</v>
      </c>
      <c r="E327" s="365" t="s">
        <v>1327</v>
      </c>
      <c r="F327" s="311">
        <v>11665</v>
      </c>
    </row>
    <row r="328" spans="4:6" ht="15">
      <c r="D328" s="97" t="s">
        <v>1422</v>
      </c>
      <c r="E328" s="365" t="s">
        <v>1328</v>
      </c>
      <c r="F328" s="311">
        <v>14299</v>
      </c>
    </row>
    <row r="329" spans="4:6" ht="15">
      <c r="D329" s="97" t="s">
        <v>1423</v>
      </c>
      <c r="E329" s="365" t="s">
        <v>1329</v>
      </c>
      <c r="F329" s="311">
        <v>5126</v>
      </c>
    </row>
    <row r="330" spans="4:6" ht="38.25">
      <c r="D330" s="97" t="s">
        <v>1423</v>
      </c>
      <c r="E330" s="365" t="s">
        <v>1330</v>
      </c>
      <c r="F330" s="311">
        <v>6181</v>
      </c>
    </row>
    <row r="331" spans="4:6" ht="25.5">
      <c r="D331" s="97" t="s">
        <v>1427</v>
      </c>
      <c r="E331" s="365" t="s">
        <v>1331</v>
      </c>
      <c r="F331" s="311">
        <v>3162</v>
      </c>
    </row>
    <row r="332" spans="4:6" ht="25.5">
      <c r="D332" s="97" t="s">
        <v>1427</v>
      </c>
      <c r="E332" s="365" t="s">
        <v>1332</v>
      </c>
      <c r="F332" s="311">
        <v>384</v>
      </c>
    </row>
    <row r="333" spans="4:6" ht="15">
      <c r="D333" s="97" t="s">
        <v>1427</v>
      </c>
      <c r="E333" s="365" t="s">
        <v>1333</v>
      </c>
      <c r="F333" s="311">
        <v>169</v>
      </c>
    </row>
    <row r="334" spans="4:6" ht="25.5">
      <c r="D334" s="97" t="s">
        <v>1427</v>
      </c>
      <c r="E334" s="365" t="s">
        <v>1334</v>
      </c>
      <c r="F334" s="311">
        <v>99</v>
      </c>
    </row>
    <row r="335" spans="4:6" ht="25.5">
      <c r="D335" s="97" t="s">
        <v>1427</v>
      </c>
      <c r="E335" s="365" t="s">
        <v>1335</v>
      </c>
      <c r="F335" s="311">
        <v>197</v>
      </c>
    </row>
    <row r="336" spans="4:6" ht="25.5">
      <c r="D336" s="97" t="s">
        <v>1427</v>
      </c>
      <c r="E336" s="365" t="s">
        <v>1336</v>
      </c>
      <c r="F336" s="311">
        <v>295</v>
      </c>
    </row>
    <row r="337" spans="3:6" ht="25.5">
      <c r="D337" s="97" t="s">
        <v>1427</v>
      </c>
      <c r="E337" s="365" t="s">
        <v>1337</v>
      </c>
      <c r="F337" s="311">
        <v>323</v>
      </c>
    </row>
    <row r="338" spans="3:6" ht="15">
      <c r="D338" s="97" t="s">
        <v>1427</v>
      </c>
      <c r="E338" s="365" t="s">
        <v>1338</v>
      </c>
      <c r="F338" s="311">
        <v>422</v>
      </c>
    </row>
    <row r="339" spans="3:6" ht="25.5">
      <c r="D339" s="97" t="s">
        <v>1427</v>
      </c>
      <c r="E339" s="365" t="s">
        <v>1339</v>
      </c>
      <c r="F339" s="311">
        <v>485</v>
      </c>
    </row>
    <row r="340" spans="3:6" ht="15">
      <c r="D340" s="97" t="s">
        <v>1427</v>
      </c>
      <c r="E340" s="365" t="s">
        <v>1340</v>
      </c>
      <c r="F340" s="311">
        <v>366</v>
      </c>
    </row>
    <row r="341" spans="3:6" ht="25.5">
      <c r="D341" s="97" t="s">
        <v>1427</v>
      </c>
      <c r="E341" s="365" t="s">
        <v>1341</v>
      </c>
      <c r="F341" s="311">
        <v>442</v>
      </c>
    </row>
    <row r="342" spans="3:6" ht="25.5">
      <c r="D342" s="97" t="s">
        <v>1427</v>
      </c>
      <c r="E342" s="365" t="s">
        <v>1342</v>
      </c>
      <c r="F342" s="311">
        <v>88</v>
      </c>
    </row>
    <row r="343" spans="3:6" ht="25.5">
      <c r="D343" s="97" t="s">
        <v>1427</v>
      </c>
      <c r="E343" s="365" t="s">
        <v>1343</v>
      </c>
      <c r="F343" s="311">
        <v>93</v>
      </c>
    </row>
    <row r="344" spans="3:6" ht="25.5">
      <c r="D344" s="97" t="s">
        <v>1427</v>
      </c>
      <c r="E344" s="365" t="s">
        <v>1344</v>
      </c>
      <c r="F344" s="311">
        <v>650</v>
      </c>
    </row>
    <row r="345" spans="3:6">
      <c r="C345" s="333" t="s">
        <v>326</v>
      </c>
      <c r="D345" s="312"/>
      <c r="E345" s="353"/>
      <c r="F345" s="313">
        <f>SUM(F346:F372)</f>
        <v>3104272.7649999997</v>
      </c>
    </row>
    <row r="346" spans="3:6" ht="15">
      <c r="D346" s="97" t="s">
        <v>1424</v>
      </c>
      <c r="E346" s="365" t="s">
        <v>1318</v>
      </c>
      <c r="F346" s="311">
        <v>120208.978</v>
      </c>
    </row>
    <row r="347" spans="3:6" ht="25.5">
      <c r="D347" s="97" t="s">
        <v>1259</v>
      </c>
      <c r="E347" s="365" t="s">
        <v>1319</v>
      </c>
      <c r="F347" s="311">
        <v>169258.34099999999</v>
      </c>
    </row>
    <row r="348" spans="3:6" ht="15">
      <c r="D348" s="97" t="s">
        <v>1427</v>
      </c>
      <c r="E348" s="365" t="s">
        <v>1320</v>
      </c>
      <c r="F348" s="311">
        <v>84426.27</v>
      </c>
    </row>
    <row r="349" spans="3:6" ht="25.5">
      <c r="D349" s="97" t="s">
        <v>1427</v>
      </c>
      <c r="E349" s="365" t="s">
        <v>1321</v>
      </c>
      <c r="F349" s="311">
        <v>89967.062999999995</v>
      </c>
    </row>
    <row r="350" spans="3:6" ht="15">
      <c r="D350" s="97" t="s">
        <v>1259</v>
      </c>
      <c r="E350" s="365" t="s">
        <v>1322</v>
      </c>
      <c r="F350" s="311">
        <v>47207.337</v>
      </c>
    </row>
    <row r="351" spans="3:6" ht="25.5">
      <c r="D351" s="97" t="s">
        <v>1424</v>
      </c>
      <c r="E351" s="365" t="s">
        <v>1323</v>
      </c>
      <c r="F351" s="311">
        <v>103757.83100000001</v>
      </c>
    </row>
    <row r="352" spans="3:6" ht="15">
      <c r="D352" s="97" t="s">
        <v>1259</v>
      </c>
      <c r="E352" s="365" t="s">
        <v>1324</v>
      </c>
      <c r="F352" s="311">
        <v>62310.188999999998</v>
      </c>
    </row>
    <row r="353" spans="4:6" ht="15">
      <c r="D353" s="97" t="s">
        <v>1259</v>
      </c>
      <c r="E353" s="365" t="s">
        <v>1325</v>
      </c>
      <c r="F353" s="311">
        <v>50307.756000000001</v>
      </c>
    </row>
    <row r="354" spans="4:6" ht="25.5">
      <c r="D354" s="97" t="s">
        <v>1426</v>
      </c>
      <c r="E354" s="365" t="s">
        <v>1326</v>
      </c>
      <c r="F354" s="311">
        <v>836276.04200000002</v>
      </c>
    </row>
    <row r="355" spans="4:6" ht="15">
      <c r="D355" s="97" t="s">
        <v>1425</v>
      </c>
      <c r="E355" s="365" t="s">
        <v>1327</v>
      </c>
      <c r="F355" s="311">
        <v>378615.364</v>
      </c>
    </row>
    <row r="356" spans="4:6" ht="15">
      <c r="D356" s="97" t="s">
        <v>1423</v>
      </c>
      <c r="E356" s="365" t="s">
        <v>1328</v>
      </c>
      <c r="F356" s="311">
        <v>535401.679</v>
      </c>
    </row>
    <row r="357" spans="4:6" ht="15">
      <c r="D357" s="97" t="s">
        <v>1423</v>
      </c>
      <c r="E357" s="365" t="s">
        <v>1329</v>
      </c>
      <c r="F357" s="311">
        <v>171226.31099999999</v>
      </c>
    </row>
    <row r="358" spans="4:6" ht="38.25">
      <c r="D358" s="97" t="s">
        <v>1423</v>
      </c>
      <c r="E358" s="365" t="s">
        <v>1330</v>
      </c>
      <c r="F358" s="311">
        <v>204883.622</v>
      </c>
    </row>
    <row r="359" spans="4:6" ht="25.5">
      <c r="D359" s="97" t="s">
        <v>1427</v>
      </c>
      <c r="E359" s="365" t="s">
        <v>1331</v>
      </c>
      <c r="F359" s="311">
        <v>118871</v>
      </c>
    </row>
    <row r="360" spans="4:6" ht="25.5">
      <c r="D360" s="97" t="s">
        <v>1427</v>
      </c>
      <c r="E360" s="365" t="s">
        <v>1332</v>
      </c>
      <c r="F360" s="311">
        <v>19819.272000000001</v>
      </c>
    </row>
    <row r="361" spans="4:6" ht="15">
      <c r="D361" s="97" t="s">
        <v>1427</v>
      </c>
      <c r="E361" s="365" t="s">
        <v>1333</v>
      </c>
      <c r="F361" s="311">
        <v>11382.69</v>
      </c>
    </row>
    <row r="362" spans="4:6" ht="25.5">
      <c r="D362" s="97" t="s">
        <v>1427</v>
      </c>
      <c r="E362" s="365" t="s">
        <v>1334</v>
      </c>
      <c r="F362" s="311">
        <v>2811.85</v>
      </c>
    </row>
    <row r="363" spans="4:6" ht="25.5">
      <c r="D363" s="97" t="s">
        <v>1427</v>
      </c>
      <c r="E363" s="365" t="s">
        <v>1335</v>
      </c>
      <c r="F363" s="311">
        <v>23219.52</v>
      </c>
    </row>
    <row r="364" spans="4:6" ht="25.5">
      <c r="D364" s="97" t="s">
        <v>1427</v>
      </c>
      <c r="E364" s="365" t="s">
        <v>1336</v>
      </c>
      <c r="F364" s="311">
        <v>8369.625</v>
      </c>
    </row>
    <row r="365" spans="4:6" ht="25.5">
      <c r="D365" s="97" t="s">
        <v>1427</v>
      </c>
      <c r="E365" s="365" t="s">
        <v>1337</v>
      </c>
      <c r="F365" s="311">
        <v>4016.8</v>
      </c>
    </row>
    <row r="366" spans="4:6" ht="15">
      <c r="D366" s="97" t="s">
        <v>1427</v>
      </c>
      <c r="E366" s="365" t="s">
        <v>1338</v>
      </c>
      <c r="F366" s="311">
        <v>12052.26</v>
      </c>
    </row>
    <row r="367" spans="4:6" ht="25.5">
      <c r="D367" s="97" t="s">
        <v>1427</v>
      </c>
      <c r="E367" s="365" t="s">
        <v>1339</v>
      </c>
      <c r="F367" s="311">
        <v>11382.69</v>
      </c>
    </row>
    <row r="368" spans="4:6" ht="15">
      <c r="D368" s="97" t="s">
        <v>1427</v>
      </c>
      <c r="E368" s="365" t="s">
        <v>1340</v>
      </c>
      <c r="F368" s="311">
        <v>6427.8720000000003</v>
      </c>
    </row>
    <row r="369" spans="1:6" ht="25.5">
      <c r="D369" s="97" t="s">
        <v>1427</v>
      </c>
      <c r="E369" s="365" t="s">
        <v>1341</v>
      </c>
      <c r="F369" s="311">
        <v>8972.2379999999994</v>
      </c>
    </row>
    <row r="370" spans="1:6" ht="25.5">
      <c r="D370" s="97" t="s">
        <v>1427</v>
      </c>
      <c r="E370" s="365" t="s">
        <v>1342</v>
      </c>
      <c r="F370" s="311">
        <v>2008.71</v>
      </c>
    </row>
    <row r="371" spans="1:6" ht="25.5">
      <c r="D371" s="97" t="s">
        <v>1427</v>
      </c>
      <c r="E371" s="365" t="s">
        <v>1343</v>
      </c>
      <c r="F371" s="311">
        <v>9373.98</v>
      </c>
    </row>
    <row r="372" spans="1:6" ht="25.5">
      <c r="D372" s="97" t="s">
        <v>1427</v>
      </c>
      <c r="E372" s="365" t="s">
        <v>1344</v>
      </c>
      <c r="F372" s="311">
        <v>11717.475</v>
      </c>
    </row>
    <row r="373" spans="1:6" ht="15">
      <c r="A373" t="s">
        <v>1744</v>
      </c>
      <c r="C373">
        <v>11</v>
      </c>
      <c r="D373" s="97"/>
      <c r="E373" s="352"/>
      <c r="F373" s="314">
        <f t="shared" ref="F373" si="5">SUM(F374:F406)</f>
        <v>117015.55</v>
      </c>
    </row>
    <row r="374" spans="1:6" ht="30">
      <c r="D374" s="97" t="s">
        <v>1427</v>
      </c>
      <c r="E374" s="354" t="s">
        <v>1449</v>
      </c>
      <c r="F374" s="314">
        <v>5286</v>
      </c>
    </row>
    <row r="375" spans="1:6" ht="15">
      <c r="D375" s="97" t="s">
        <v>1427</v>
      </c>
      <c r="E375" s="354" t="s">
        <v>1450</v>
      </c>
      <c r="F375" s="314">
        <v>4587</v>
      </c>
    </row>
    <row r="376" spans="1:6" ht="15">
      <c r="D376" s="97" t="s">
        <v>1427</v>
      </c>
      <c r="E376" s="355" t="s">
        <v>1451</v>
      </c>
      <c r="F376" s="314">
        <v>1312</v>
      </c>
    </row>
    <row r="377" spans="1:6" ht="15">
      <c r="D377" s="97" t="s">
        <v>1427</v>
      </c>
      <c r="E377" s="355" t="s">
        <v>1452</v>
      </c>
      <c r="F377" s="314">
        <v>1085</v>
      </c>
    </row>
    <row r="378" spans="1:6" ht="15">
      <c r="D378" s="97" t="s">
        <v>1427</v>
      </c>
      <c r="E378" s="355" t="s">
        <v>1453</v>
      </c>
      <c r="F378" s="314">
        <v>789</v>
      </c>
    </row>
    <row r="379" spans="1:6" ht="30">
      <c r="D379" s="97" t="s">
        <v>1423</v>
      </c>
      <c r="E379" s="355" t="s">
        <v>1454</v>
      </c>
      <c r="F379" s="314">
        <v>15358</v>
      </c>
    </row>
    <row r="380" spans="1:6" ht="15">
      <c r="D380" s="97" t="s">
        <v>1427</v>
      </c>
      <c r="E380" s="355" t="s">
        <v>1455</v>
      </c>
      <c r="F380" s="314">
        <v>1761</v>
      </c>
    </row>
    <row r="381" spans="1:6" ht="15">
      <c r="D381" s="97" t="s">
        <v>1427</v>
      </c>
      <c r="E381" s="355" t="s">
        <v>1456</v>
      </c>
      <c r="F381" s="314">
        <v>374</v>
      </c>
    </row>
    <row r="382" spans="1:6" ht="15">
      <c r="D382" s="97" t="s">
        <v>1427</v>
      </c>
      <c r="E382" s="355" t="s">
        <v>1457</v>
      </c>
      <c r="F382" s="314">
        <v>752</v>
      </c>
    </row>
    <row r="383" spans="1:6" ht="15">
      <c r="D383" s="97" t="s">
        <v>1427</v>
      </c>
      <c r="E383" s="355" t="s">
        <v>1458</v>
      </c>
      <c r="F383" s="314">
        <v>600</v>
      </c>
    </row>
    <row r="384" spans="1:6" ht="15">
      <c r="D384" s="97" t="s">
        <v>1427</v>
      </c>
      <c r="E384" s="355" t="s">
        <v>1459</v>
      </c>
      <c r="F384" s="314">
        <v>422</v>
      </c>
    </row>
    <row r="385" spans="4:6" ht="15">
      <c r="D385" s="97" t="s">
        <v>1427</v>
      </c>
      <c r="E385" s="355" t="s">
        <v>1460</v>
      </c>
      <c r="F385" s="314">
        <v>118.146</v>
      </c>
    </row>
    <row r="386" spans="4:6" ht="15">
      <c r="D386" s="97" t="s">
        <v>1427</v>
      </c>
      <c r="E386" s="355" t="s">
        <v>1461</v>
      </c>
      <c r="F386" s="314">
        <v>161</v>
      </c>
    </row>
    <row r="387" spans="4:6" ht="15">
      <c r="D387" s="97" t="s">
        <v>1427</v>
      </c>
      <c r="E387" s="355" t="s">
        <v>1462</v>
      </c>
      <c r="F387" s="314">
        <v>153</v>
      </c>
    </row>
    <row r="388" spans="4:6" ht="15">
      <c r="D388" s="97" t="s">
        <v>1427</v>
      </c>
      <c r="E388" s="355" t="s">
        <v>1463</v>
      </c>
      <c r="F388" s="314">
        <v>116</v>
      </c>
    </row>
    <row r="389" spans="4:6" ht="15">
      <c r="D389" s="97" t="s">
        <v>1427</v>
      </c>
      <c r="E389" s="355" t="s">
        <v>1464</v>
      </c>
      <c r="F389" s="314">
        <v>731</v>
      </c>
    </row>
    <row r="390" spans="4:6" ht="15">
      <c r="D390" s="97" t="s">
        <v>1427</v>
      </c>
      <c r="E390" s="355" t="s">
        <v>1465</v>
      </c>
      <c r="F390" s="314">
        <v>46.985999999999997</v>
      </c>
    </row>
    <row r="391" spans="4:6" ht="15">
      <c r="D391" s="97" t="s">
        <v>1427</v>
      </c>
      <c r="E391" s="355" t="s">
        <v>1466</v>
      </c>
      <c r="F391" s="314">
        <v>108</v>
      </c>
    </row>
    <row r="392" spans="4:6" ht="15">
      <c r="D392" s="97" t="s">
        <v>1427</v>
      </c>
      <c r="E392" s="355" t="s">
        <v>1467</v>
      </c>
      <c r="F392" s="314">
        <v>534.01400000000001</v>
      </c>
    </row>
    <row r="393" spans="4:6" ht="15">
      <c r="D393" s="97" t="s">
        <v>1427</v>
      </c>
      <c r="E393" s="355" t="s">
        <v>1468</v>
      </c>
      <c r="F393" s="314">
        <v>118.854</v>
      </c>
    </row>
    <row r="394" spans="4:6" ht="15">
      <c r="D394" s="97" t="s">
        <v>1427</v>
      </c>
      <c r="E394" s="355" t="s">
        <v>1469</v>
      </c>
      <c r="F394" s="314">
        <v>145</v>
      </c>
    </row>
    <row r="395" spans="4:6" ht="30">
      <c r="D395" s="97" t="s">
        <v>1422</v>
      </c>
      <c r="E395" s="356" t="s">
        <v>1689</v>
      </c>
      <c r="F395" s="315">
        <v>8353.0049999999992</v>
      </c>
    </row>
    <row r="396" spans="4:6" ht="30">
      <c r="D396" s="97" t="s">
        <v>1259</v>
      </c>
      <c r="E396" s="356" t="s">
        <v>1690</v>
      </c>
      <c r="F396" s="315">
        <v>2062.5</v>
      </c>
    </row>
    <row r="397" spans="4:6" ht="30">
      <c r="D397" s="97" t="s">
        <v>1422</v>
      </c>
      <c r="E397" s="356" t="s">
        <v>1691</v>
      </c>
      <c r="F397" s="315">
        <v>5281</v>
      </c>
    </row>
    <row r="398" spans="4:6" ht="30">
      <c r="D398" s="97" t="s">
        <v>1426</v>
      </c>
      <c r="E398" s="356" t="s">
        <v>1692</v>
      </c>
      <c r="F398" s="315">
        <v>16566.059000000001</v>
      </c>
    </row>
    <row r="399" spans="4:6" ht="45">
      <c r="D399" s="97" t="s">
        <v>1424</v>
      </c>
      <c r="E399" s="356" t="s">
        <v>1693</v>
      </c>
      <c r="F399" s="315">
        <v>6537</v>
      </c>
    </row>
    <row r="400" spans="4:6" ht="30">
      <c r="D400" s="97" t="s">
        <v>1426</v>
      </c>
      <c r="E400" s="356" t="s">
        <v>1694</v>
      </c>
      <c r="F400" s="315">
        <v>4205</v>
      </c>
    </row>
    <row r="401" spans="3:6" ht="45">
      <c r="D401" s="97" t="s">
        <v>1426</v>
      </c>
      <c r="E401" s="356" t="s">
        <v>1695</v>
      </c>
      <c r="F401" s="315">
        <v>6595</v>
      </c>
    </row>
    <row r="402" spans="3:6" ht="30">
      <c r="D402" s="97" t="s">
        <v>1424</v>
      </c>
      <c r="E402" s="356" t="s">
        <v>1696</v>
      </c>
      <c r="F402" s="315">
        <v>3127</v>
      </c>
    </row>
    <row r="403" spans="3:6" ht="30">
      <c r="D403" s="97" t="s">
        <v>1259</v>
      </c>
      <c r="E403" s="356" t="s">
        <v>1471</v>
      </c>
      <c r="F403" s="315">
        <v>1491</v>
      </c>
    </row>
    <row r="404" spans="3:6" ht="30">
      <c r="D404" s="97" t="s">
        <v>1259</v>
      </c>
      <c r="E404" s="356" t="s">
        <v>1472</v>
      </c>
      <c r="F404" s="315">
        <v>1682</v>
      </c>
    </row>
    <row r="405" spans="3:6" ht="30">
      <c r="D405" s="97" t="s">
        <v>1422</v>
      </c>
      <c r="E405" s="356" t="s">
        <v>1697</v>
      </c>
      <c r="F405" s="315">
        <v>22047.986000000001</v>
      </c>
    </row>
    <row r="406" spans="3:6" ht="30">
      <c r="D406" s="97" t="s">
        <v>1427</v>
      </c>
      <c r="E406" s="356" t="s">
        <v>1698</v>
      </c>
      <c r="F406" s="315">
        <v>4510</v>
      </c>
    </row>
    <row r="407" spans="3:6" ht="15">
      <c r="C407">
        <v>15</v>
      </c>
      <c r="D407" s="97"/>
      <c r="F407" s="314">
        <f t="shared" ref="F407" si="6">SUM(F408:F440)</f>
        <v>3951243.3396799997</v>
      </c>
    </row>
    <row r="408" spans="3:6" ht="30">
      <c r="D408" s="97" t="s">
        <v>1427</v>
      </c>
      <c r="E408" s="356" t="s">
        <v>1449</v>
      </c>
      <c r="F408" s="314">
        <v>160735</v>
      </c>
    </row>
    <row r="409" spans="3:6" ht="15">
      <c r="D409" s="97" t="s">
        <v>1427</v>
      </c>
      <c r="E409" s="356" t="s">
        <v>1450</v>
      </c>
      <c r="F409" s="314">
        <v>132239.4</v>
      </c>
    </row>
    <row r="410" spans="3:6" ht="15">
      <c r="D410" s="97" t="s">
        <v>1427</v>
      </c>
      <c r="E410" s="356" t="s">
        <v>1451</v>
      </c>
      <c r="F410" s="314">
        <v>54357</v>
      </c>
    </row>
    <row r="411" spans="3:6" ht="15">
      <c r="D411" s="97" t="s">
        <v>1427</v>
      </c>
      <c r="E411" s="356" t="s">
        <v>1452</v>
      </c>
      <c r="F411" s="314">
        <v>31398</v>
      </c>
    </row>
    <row r="412" spans="3:6" ht="15">
      <c r="D412" s="97" t="s">
        <v>1427</v>
      </c>
      <c r="E412" s="356" t="s">
        <v>1453</v>
      </c>
      <c r="F412" s="314">
        <v>46644</v>
      </c>
    </row>
    <row r="413" spans="3:6" ht="30">
      <c r="D413" s="97" t="s">
        <v>1423</v>
      </c>
      <c r="E413" s="356" t="s">
        <v>1454</v>
      </c>
      <c r="F413" s="314">
        <v>351048</v>
      </c>
    </row>
    <row r="414" spans="3:6" ht="15">
      <c r="D414" s="97" t="s">
        <v>1427</v>
      </c>
      <c r="E414" s="356" t="s">
        <v>1455</v>
      </c>
      <c r="F414" s="314">
        <v>45709</v>
      </c>
    </row>
    <row r="415" spans="3:6" ht="15">
      <c r="D415" s="97" t="s">
        <v>1427</v>
      </c>
      <c r="E415" s="356" t="s">
        <v>1456</v>
      </c>
      <c r="F415" s="314">
        <v>12084</v>
      </c>
    </row>
    <row r="416" spans="3:6" ht="15">
      <c r="D416" s="97" t="s">
        <v>1427</v>
      </c>
      <c r="E416" s="356" t="s">
        <v>1457</v>
      </c>
      <c r="F416" s="314">
        <v>36796</v>
      </c>
    </row>
    <row r="417" spans="4:6" ht="15">
      <c r="D417" s="97" t="s">
        <v>1427</v>
      </c>
      <c r="E417" s="356" t="s">
        <v>1458</v>
      </c>
      <c r="F417" s="314">
        <v>12514</v>
      </c>
    </row>
    <row r="418" spans="4:6" ht="15">
      <c r="D418" s="97" t="s">
        <v>1427</v>
      </c>
      <c r="E418" s="356" t="s">
        <v>1459</v>
      </c>
      <c r="F418" s="314">
        <v>21559</v>
      </c>
    </row>
    <row r="419" spans="4:6" ht="15">
      <c r="D419" s="97" t="s">
        <v>1427</v>
      </c>
      <c r="E419" s="356" t="s">
        <v>1460</v>
      </c>
      <c r="F419" s="314">
        <v>22540.799999999999</v>
      </c>
    </row>
    <row r="420" spans="4:6" ht="15">
      <c r="D420" s="97" t="s">
        <v>1427</v>
      </c>
      <c r="E420" s="356" t="s">
        <v>1461</v>
      </c>
      <c r="F420" s="314">
        <v>3935</v>
      </c>
    </row>
    <row r="421" spans="4:6" ht="15">
      <c r="D421" s="97" t="s">
        <v>1427</v>
      </c>
      <c r="E421" s="356" t="s">
        <v>1462</v>
      </c>
      <c r="F421" s="314">
        <v>15544</v>
      </c>
    </row>
    <row r="422" spans="4:6" ht="15">
      <c r="D422" s="97" t="s">
        <v>1427</v>
      </c>
      <c r="E422" s="356" t="s">
        <v>1463</v>
      </c>
      <c r="F422" s="314">
        <v>2714</v>
      </c>
    </row>
    <row r="423" spans="4:6" ht="15">
      <c r="D423" s="97" t="s">
        <v>1427</v>
      </c>
      <c r="E423" s="356" t="s">
        <v>1464</v>
      </c>
      <c r="F423" s="314">
        <v>48201</v>
      </c>
    </row>
    <row r="424" spans="4:6" ht="15">
      <c r="D424" s="97" t="s">
        <v>1427</v>
      </c>
      <c r="E424" s="356" t="s">
        <v>1465</v>
      </c>
      <c r="F424" s="314">
        <v>3189</v>
      </c>
    </row>
    <row r="425" spans="4:6" ht="15">
      <c r="D425" s="97" t="s">
        <v>1427</v>
      </c>
      <c r="E425" s="356" t="s">
        <v>1466</v>
      </c>
      <c r="F425" s="314">
        <v>3856</v>
      </c>
    </row>
    <row r="426" spans="4:6" ht="15">
      <c r="D426" s="97" t="s">
        <v>1427</v>
      </c>
      <c r="E426" s="356" t="s">
        <v>1467</v>
      </c>
      <c r="F426" s="314">
        <v>16716.599999999999</v>
      </c>
    </row>
    <row r="427" spans="4:6" ht="15">
      <c r="D427" s="97" t="s">
        <v>1427</v>
      </c>
      <c r="E427" s="356" t="s">
        <v>1468</v>
      </c>
      <c r="F427" s="314">
        <v>12677</v>
      </c>
    </row>
    <row r="428" spans="4:6" ht="15">
      <c r="D428" s="97" t="s">
        <v>1427</v>
      </c>
      <c r="E428" s="356" t="s">
        <v>1469</v>
      </c>
      <c r="F428" s="314">
        <v>14937</v>
      </c>
    </row>
    <row r="429" spans="4:6" ht="30">
      <c r="D429" s="97" t="s">
        <v>1422</v>
      </c>
      <c r="E429" s="356" t="s">
        <v>1699</v>
      </c>
      <c r="F429" s="315">
        <v>221972.50792</v>
      </c>
    </row>
    <row r="430" spans="4:6" ht="30">
      <c r="D430" s="97" t="s">
        <v>1259</v>
      </c>
      <c r="E430" s="356" t="s">
        <v>1690</v>
      </c>
      <c r="F430" s="315">
        <v>76392.60196</v>
      </c>
    </row>
    <row r="431" spans="4:6" ht="30">
      <c r="D431" s="97" t="s">
        <v>1422</v>
      </c>
      <c r="E431" s="356" t="s">
        <v>1691</v>
      </c>
      <c r="F431" s="315">
        <v>109121.21751</v>
      </c>
    </row>
    <row r="432" spans="4:6" ht="30">
      <c r="D432" s="97" t="s">
        <v>1426</v>
      </c>
      <c r="E432" s="356" t="s">
        <v>1692</v>
      </c>
      <c r="F432" s="315">
        <v>708668.97629000002</v>
      </c>
    </row>
    <row r="433" spans="1:6" ht="45">
      <c r="D433" s="97" t="s">
        <v>1424</v>
      </c>
      <c r="E433" s="356" t="s">
        <v>1693</v>
      </c>
      <c r="F433" s="315">
        <v>231623.57381</v>
      </c>
    </row>
    <row r="434" spans="1:6" ht="30">
      <c r="D434" s="97" t="s">
        <v>1426</v>
      </c>
      <c r="E434" s="356" t="s">
        <v>1694</v>
      </c>
      <c r="F434" s="315">
        <v>184908.08905000001</v>
      </c>
    </row>
    <row r="435" spans="1:6" ht="30">
      <c r="D435" s="97" t="s">
        <v>1426</v>
      </c>
      <c r="E435" s="356" t="s">
        <v>1700</v>
      </c>
      <c r="F435" s="315">
        <v>250250.20814</v>
      </c>
    </row>
    <row r="436" spans="1:6" ht="30">
      <c r="D436" s="97" t="s">
        <v>1424</v>
      </c>
      <c r="E436" s="356" t="s">
        <v>1696</v>
      </c>
      <c r="F436" s="315">
        <v>84496.354980000004</v>
      </c>
    </row>
    <row r="437" spans="1:6" ht="30">
      <c r="D437" s="97" t="s">
        <v>1259</v>
      </c>
      <c r="E437" s="356" t="s">
        <v>1471</v>
      </c>
      <c r="F437" s="315">
        <v>47946.422939999997</v>
      </c>
    </row>
    <row r="438" spans="1:6" ht="30">
      <c r="D438" s="97" t="s">
        <v>1259</v>
      </c>
      <c r="E438" s="356" t="s">
        <v>1472</v>
      </c>
      <c r="F438" s="315">
        <v>73561.524810000003</v>
      </c>
    </row>
    <row r="439" spans="1:6" ht="30">
      <c r="D439" s="97" t="s">
        <v>1259</v>
      </c>
      <c r="E439" s="356" t="s">
        <v>1470</v>
      </c>
      <c r="F439" s="315">
        <v>669388.30867000006</v>
      </c>
    </row>
    <row r="440" spans="1:6" ht="30">
      <c r="D440" s="97" t="s">
        <v>1259</v>
      </c>
      <c r="E440" s="356" t="s">
        <v>1698</v>
      </c>
      <c r="F440" s="315">
        <v>243519.7536</v>
      </c>
    </row>
    <row r="441" spans="1:6">
      <c r="A441" t="s">
        <v>1743</v>
      </c>
      <c r="C441">
        <v>15</v>
      </c>
      <c r="D441" s="97"/>
    </row>
    <row r="442" spans="1:6">
      <c r="D442" s="97" t="s">
        <v>1425</v>
      </c>
      <c r="E442" s="366" t="s">
        <v>1701</v>
      </c>
      <c r="F442" s="367">
        <v>127854.31600000001</v>
      </c>
    </row>
    <row r="443" spans="1:6" ht="24">
      <c r="D443" s="97" t="s">
        <v>1424</v>
      </c>
      <c r="E443" s="366" t="s">
        <v>1311</v>
      </c>
      <c r="F443" s="367">
        <v>379877.2</v>
      </c>
    </row>
    <row r="444" spans="1:6">
      <c r="D444" s="97" t="s">
        <v>1425</v>
      </c>
      <c r="E444" s="366" t="s">
        <v>1313</v>
      </c>
      <c r="F444" s="367">
        <v>406885.8</v>
      </c>
    </row>
    <row r="445" spans="1:6">
      <c r="D445" s="97" t="s">
        <v>1427</v>
      </c>
      <c r="E445" s="366" t="s">
        <v>1314</v>
      </c>
      <c r="F445" s="367">
        <v>169597.2</v>
      </c>
    </row>
    <row r="446" spans="1:6" ht="24">
      <c r="D446" s="97" t="s">
        <v>1424</v>
      </c>
      <c r="E446" s="366" t="s">
        <v>1702</v>
      </c>
      <c r="F446" s="367">
        <v>86322.2</v>
      </c>
    </row>
    <row r="447" spans="1:6" ht="24">
      <c r="D447" s="97" t="s">
        <v>1427</v>
      </c>
      <c r="E447" s="366" t="s">
        <v>1703</v>
      </c>
      <c r="F447" s="367">
        <v>4713.7555300000004</v>
      </c>
    </row>
    <row r="448" spans="1:6" ht="24">
      <c r="D448" s="97" t="s">
        <v>1427</v>
      </c>
      <c r="E448" s="366" t="s">
        <v>1704</v>
      </c>
      <c r="F448" s="367">
        <v>2633.5465099999997</v>
      </c>
    </row>
    <row r="449" spans="4:6">
      <c r="D449" s="97" t="s">
        <v>1423</v>
      </c>
      <c r="E449" s="366" t="s">
        <v>1705</v>
      </c>
      <c r="F449" s="367">
        <v>347761.5</v>
      </c>
    </row>
    <row r="450" spans="4:6" ht="24">
      <c r="D450" s="97" t="s">
        <v>1259</v>
      </c>
      <c r="E450" s="366" t="s">
        <v>1706</v>
      </c>
      <c r="F450" s="367">
        <v>10981.287990000001</v>
      </c>
    </row>
    <row r="451" spans="4:6" ht="24">
      <c r="D451" s="97" t="s">
        <v>1427</v>
      </c>
      <c r="E451" s="366" t="s">
        <v>1316</v>
      </c>
      <c r="F451" s="367">
        <v>686.32998999999995</v>
      </c>
    </row>
    <row r="452" spans="4:6">
      <c r="D452" s="97" t="s">
        <v>1427</v>
      </c>
      <c r="E452" s="366" t="s">
        <v>1315</v>
      </c>
      <c r="F452" s="367">
        <v>21276.244990000003</v>
      </c>
    </row>
    <row r="453" spans="4:6">
      <c r="D453" s="97" t="s">
        <v>1422</v>
      </c>
      <c r="E453" s="366" t="s">
        <v>1309</v>
      </c>
      <c r="F453" s="367">
        <v>865409.49095000001</v>
      </c>
    </row>
    <row r="454" spans="4:6">
      <c r="D454" s="97" t="s">
        <v>1427</v>
      </c>
      <c r="E454" s="366" t="s">
        <v>1707</v>
      </c>
      <c r="F454" s="367">
        <v>23353.823990000001</v>
      </c>
    </row>
    <row r="455" spans="4:6">
      <c r="D455" s="97" t="s">
        <v>1427</v>
      </c>
      <c r="E455" s="366" t="s">
        <v>1708</v>
      </c>
      <c r="F455" s="367">
        <v>67570.106220000001</v>
      </c>
    </row>
    <row r="456" spans="4:6">
      <c r="D456" s="97" t="s">
        <v>1427</v>
      </c>
      <c r="E456" s="366" t="s">
        <v>1709</v>
      </c>
      <c r="F456" s="367">
        <v>22763.294989999999</v>
      </c>
    </row>
    <row r="457" spans="4:6" ht="24">
      <c r="D457" s="97" t="s">
        <v>1427</v>
      </c>
      <c r="E457" s="366" t="s">
        <v>1710</v>
      </c>
      <c r="F457" s="367">
        <v>1788.8000500000001</v>
      </c>
    </row>
    <row r="458" spans="4:6">
      <c r="D458" s="97" t="s">
        <v>1427</v>
      </c>
      <c r="E458" s="366" t="s">
        <v>1711</v>
      </c>
      <c r="F458" s="367">
        <v>1922.74909</v>
      </c>
    </row>
    <row r="459" spans="4:6">
      <c r="D459" s="97" t="s">
        <v>1427</v>
      </c>
      <c r="E459" s="366" t="s">
        <v>1712</v>
      </c>
      <c r="F459" s="367">
        <v>77283.328110000002</v>
      </c>
    </row>
    <row r="460" spans="4:6" ht="24">
      <c r="D460" s="97" t="s">
        <v>1422</v>
      </c>
      <c r="E460" s="366" t="s">
        <v>1310</v>
      </c>
      <c r="F460" s="367">
        <v>230630.47899</v>
      </c>
    </row>
    <row r="461" spans="4:6">
      <c r="D461" s="97" t="s">
        <v>1426</v>
      </c>
      <c r="E461" s="366" t="s">
        <v>1713</v>
      </c>
      <c r="F461" s="367">
        <v>1593226.8909799999</v>
      </c>
    </row>
    <row r="462" spans="4:6">
      <c r="D462" s="97" t="s">
        <v>1427</v>
      </c>
      <c r="E462" s="366" t="s">
        <v>1714</v>
      </c>
      <c r="F462" s="367">
        <v>31742.783950000001</v>
      </c>
    </row>
    <row r="463" spans="4:6" ht="24">
      <c r="D463" s="97" t="s">
        <v>1423</v>
      </c>
      <c r="E463" s="366" t="s">
        <v>1715</v>
      </c>
      <c r="F463" s="367">
        <v>193011.91227</v>
      </c>
    </row>
    <row r="464" spans="4:6">
      <c r="D464" s="97" t="s">
        <v>1426</v>
      </c>
      <c r="E464" s="366" t="s">
        <v>1716</v>
      </c>
      <c r="F464" s="367">
        <v>83621.476999999999</v>
      </c>
    </row>
    <row r="465" spans="1:8" ht="24">
      <c r="D465" s="97" t="s">
        <v>1426</v>
      </c>
      <c r="E465" s="366" t="s">
        <v>1717</v>
      </c>
      <c r="F465" s="367">
        <v>224843.58416999999</v>
      </c>
    </row>
    <row r="466" spans="1:8" ht="24">
      <c r="D466" s="97" t="s">
        <v>1426</v>
      </c>
      <c r="E466" s="366" t="s">
        <v>1718</v>
      </c>
      <c r="F466" s="367">
        <v>168246.2</v>
      </c>
    </row>
    <row r="467" spans="1:8">
      <c r="A467" t="s">
        <v>1576</v>
      </c>
      <c r="C467">
        <v>11</v>
      </c>
      <c r="D467" s="97"/>
      <c r="F467" s="97">
        <f t="shared" ref="F467" si="7">SUM(F468:F489)</f>
        <v>149663.70000000001</v>
      </c>
    </row>
    <row r="468" spans="1:8">
      <c r="D468" s="97" t="s">
        <v>1427</v>
      </c>
      <c r="E468" s="368" t="s">
        <v>1719</v>
      </c>
      <c r="F468" s="97">
        <v>3977</v>
      </c>
    </row>
    <row r="469" spans="1:8">
      <c r="D469" s="97" t="s">
        <v>1427</v>
      </c>
      <c r="E469" s="368" t="s">
        <v>1720</v>
      </c>
      <c r="F469" s="97">
        <v>775</v>
      </c>
    </row>
    <row r="470" spans="1:8">
      <c r="D470" s="97" t="s">
        <v>1427</v>
      </c>
      <c r="E470" s="368" t="s">
        <v>1721</v>
      </c>
      <c r="F470" s="97">
        <v>710</v>
      </c>
    </row>
    <row r="471" spans="1:8">
      <c r="D471" s="97" t="s">
        <v>1427</v>
      </c>
      <c r="E471" s="368" t="s">
        <v>1722</v>
      </c>
      <c r="F471" s="97">
        <v>1034</v>
      </c>
    </row>
    <row r="472" spans="1:8">
      <c r="D472" s="97" t="s">
        <v>1427</v>
      </c>
      <c r="E472" s="368" t="s">
        <v>1723</v>
      </c>
      <c r="F472" s="97">
        <v>973</v>
      </c>
    </row>
    <row r="473" spans="1:8">
      <c r="D473" s="97" t="s">
        <v>1427</v>
      </c>
      <c r="E473" s="368" t="s">
        <v>1724</v>
      </c>
      <c r="F473" s="97">
        <v>1476</v>
      </c>
    </row>
    <row r="474" spans="1:8">
      <c r="D474" s="97" t="s">
        <v>1427</v>
      </c>
      <c r="E474" s="368" t="s">
        <v>1725</v>
      </c>
      <c r="F474" s="97">
        <v>1318</v>
      </c>
    </row>
    <row r="475" spans="1:8">
      <c r="D475" s="97" t="s">
        <v>1426</v>
      </c>
      <c r="E475" s="368" t="s">
        <v>1726</v>
      </c>
      <c r="F475" s="97">
        <v>4916</v>
      </c>
    </row>
    <row r="476" spans="1:8">
      <c r="D476" s="12" t="s">
        <v>1426</v>
      </c>
      <c r="E476" s="368" t="s">
        <v>1727</v>
      </c>
      <c r="F476" s="97">
        <v>7636</v>
      </c>
    </row>
    <row r="477" spans="1:8" ht="25.5">
      <c r="D477" s="12" t="s">
        <v>1426</v>
      </c>
      <c r="E477" s="368" t="s">
        <v>1728</v>
      </c>
      <c r="F477" s="97">
        <v>4245</v>
      </c>
      <c r="H477" s="1"/>
    </row>
    <row r="478" spans="1:8">
      <c r="D478" s="12" t="s">
        <v>1426</v>
      </c>
      <c r="E478" s="368" t="s">
        <v>1729</v>
      </c>
      <c r="F478" s="97">
        <v>2758</v>
      </c>
      <c r="H478" s="1"/>
    </row>
    <row r="479" spans="1:8">
      <c r="D479" s="12" t="s">
        <v>1426</v>
      </c>
      <c r="E479" s="368" t="s">
        <v>1730</v>
      </c>
      <c r="F479" s="97">
        <v>3965</v>
      </c>
      <c r="H479" s="1"/>
    </row>
    <row r="480" spans="1:8">
      <c r="D480" s="12" t="s">
        <v>1426</v>
      </c>
      <c r="E480" s="368" t="s">
        <v>1731</v>
      </c>
      <c r="F480" s="97">
        <v>3926</v>
      </c>
      <c r="H480" s="1"/>
    </row>
    <row r="481" spans="3:8" ht="25.5">
      <c r="D481" s="12" t="s">
        <v>1426</v>
      </c>
      <c r="E481" s="368" t="s">
        <v>1732</v>
      </c>
      <c r="F481" s="97">
        <v>2897</v>
      </c>
      <c r="H481" s="1"/>
    </row>
    <row r="482" spans="3:8" ht="25.5">
      <c r="D482" s="12" t="s">
        <v>1424</v>
      </c>
      <c r="E482" s="368" t="s">
        <v>1733</v>
      </c>
      <c r="F482" s="97">
        <v>5631.7</v>
      </c>
      <c r="H482" s="1"/>
    </row>
    <row r="483" spans="3:8" ht="25.5">
      <c r="D483" s="12" t="s">
        <v>1424</v>
      </c>
      <c r="E483" s="368" t="s">
        <v>1734</v>
      </c>
      <c r="F483" s="97">
        <v>6163</v>
      </c>
      <c r="H483" s="1"/>
    </row>
    <row r="484" spans="3:8">
      <c r="D484" s="12" t="s">
        <v>1426</v>
      </c>
      <c r="E484" s="368" t="s">
        <v>1735</v>
      </c>
      <c r="F484" s="97">
        <v>10814</v>
      </c>
    </row>
    <row r="485" spans="3:8">
      <c r="D485" s="12" t="s">
        <v>1426</v>
      </c>
      <c r="E485" s="368" t="s">
        <v>1736</v>
      </c>
      <c r="F485" s="97">
        <v>19974</v>
      </c>
    </row>
    <row r="486" spans="3:8">
      <c r="D486" s="12" t="s">
        <v>1426</v>
      </c>
      <c r="E486" s="368" t="s">
        <v>1737</v>
      </c>
      <c r="F486" s="97">
        <v>16708</v>
      </c>
    </row>
    <row r="487" spans="3:8">
      <c r="D487" s="97" t="s">
        <v>1422</v>
      </c>
      <c r="E487" s="368" t="s">
        <v>1738</v>
      </c>
      <c r="F487" s="97">
        <v>17027</v>
      </c>
    </row>
    <row r="488" spans="3:8">
      <c r="D488" s="97" t="s">
        <v>1427</v>
      </c>
      <c r="E488" s="368" t="s">
        <v>1739</v>
      </c>
      <c r="F488" s="97">
        <v>22945</v>
      </c>
    </row>
    <row r="489" spans="3:8">
      <c r="D489" s="97" t="s">
        <v>1423</v>
      </c>
      <c r="E489" s="368" t="s">
        <v>1740</v>
      </c>
      <c r="F489" s="97">
        <f t="shared" ref="F489" si="8">14523-4728</f>
        <v>9795</v>
      </c>
    </row>
    <row r="490" spans="3:8">
      <c r="C490">
        <v>15</v>
      </c>
      <c r="D490" s="97"/>
      <c r="E490" s="60"/>
      <c r="F490" s="97">
        <f t="shared" ref="F490" si="9">SUM(F491:F514)</f>
        <v>5026918.5</v>
      </c>
    </row>
    <row r="491" spans="3:8">
      <c r="D491" s="97" t="s">
        <v>1427</v>
      </c>
      <c r="E491" s="368" t="s">
        <v>1719</v>
      </c>
      <c r="F491" s="97">
        <v>135389</v>
      </c>
    </row>
    <row r="492" spans="3:8">
      <c r="D492" s="97" t="s">
        <v>1427</v>
      </c>
      <c r="E492" s="368" t="s">
        <v>1720</v>
      </c>
      <c r="F492" s="97">
        <v>31141</v>
      </c>
    </row>
    <row r="493" spans="3:8">
      <c r="D493" s="97" t="s">
        <v>1427</v>
      </c>
      <c r="E493" s="368" t="s">
        <v>1721</v>
      </c>
      <c r="F493" s="97">
        <v>22868</v>
      </c>
    </row>
    <row r="494" spans="3:8">
      <c r="D494" s="97" t="s">
        <v>1427</v>
      </c>
      <c r="E494" s="368" t="s">
        <v>1722</v>
      </c>
      <c r="F494" s="97">
        <v>40932</v>
      </c>
    </row>
    <row r="495" spans="3:8">
      <c r="D495" s="97" t="s">
        <v>1427</v>
      </c>
      <c r="E495" s="368" t="s">
        <v>1723</v>
      </c>
      <c r="F495" s="97">
        <v>29021</v>
      </c>
    </row>
    <row r="496" spans="3:8">
      <c r="D496" s="97" t="s">
        <v>1427</v>
      </c>
      <c r="E496" s="368" t="s">
        <v>1724</v>
      </c>
      <c r="F496" s="97">
        <v>44739</v>
      </c>
    </row>
    <row r="497" spans="4:6">
      <c r="D497" s="97" t="s">
        <v>1427</v>
      </c>
      <c r="E497" s="368" t="s">
        <v>1725</v>
      </c>
      <c r="F497" s="97">
        <v>39945</v>
      </c>
    </row>
    <row r="498" spans="4:6">
      <c r="D498" s="97" t="s">
        <v>1427</v>
      </c>
      <c r="E498" s="368" t="s">
        <v>1741</v>
      </c>
      <c r="F498" s="97">
        <f>108919.7+870.3</f>
        <v>109790</v>
      </c>
    </row>
    <row r="499" spans="4:6">
      <c r="D499" s="12" t="s">
        <v>1426</v>
      </c>
      <c r="E499" s="368" t="s">
        <v>1726</v>
      </c>
      <c r="F499" s="97">
        <v>204509</v>
      </c>
    </row>
    <row r="500" spans="4:6">
      <c r="D500" s="12" t="s">
        <v>1426</v>
      </c>
      <c r="E500" s="368" t="s">
        <v>1727</v>
      </c>
      <c r="F500" s="97">
        <v>291066</v>
      </c>
    </row>
    <row r="501" spans="4:6" ht="25.5">
      <c r="D501" s="12" t="s">
        <v>1426</v>
      </c>
      <c r="E501" s="368" t="s">
        <v>1728</v>
      </c>
      <c r="F501" s="97">
        <v>161254.1</v>
      </c>
    </row>
    <row r="502" spans="4:6">
      <c r="D502" s="12" t="s">
        <v>1426</v>
      </c>
      <c r="E502" s="368" t="s">
        <v>1729</v>
      </c>
      <c r="F502" s="97">
        <v>89058.9</v>
      </c>
    </row>
    <row r="503" spans="4:6">
      <c r="D503" s="12" t="s">
        <v>1426</v>
      </c>
      <c r="E503" s="368" t="s">
        <v>1730</v>
      </c>
      <c r="F503" s="97">
        <v>165540</v>
      </c>
    </row>
    <row r="504" spans="4:6">
      <c r="D504" s="12" t="s">
        <v>1426</v>
      </c>
      <c r="E504" s="368" t="s">
        <v>1731</v>
      </c>
      <c r="F504" s="97">
        <v>151766</v>
      </c>
    </row>
    <row r="505" spans="4:6" ht="25.5">
      <c r="D505" s="12" t="s">
        <v>1426</v>
      </c>
      <c r="E505" s="368" t="s">
        <v>1732</v>
      </c>
      <c r="F505" s="97">
        <v>89587.9</v>
      </c>
    </row>
    <row r="506" spans="4:6" ht="25.5">
      <c r="D506" s="12" t="s">
        <v>1424</v>
      </c>
      <c r="E506" s="368" t="s">
        <v>1733</v>
      </c>
      <c r="F506" s="97">
        <v>173838.6</v>
      </c>
    </row>
    <row r="507" spans="4:6" ht="25.5">
      <c r="D507" s="12" t="s">
        <v>1424</v>
      </c>
      <c r="E507" s="368" t="s">
        <v>1734</v>
      </c>
      <c r="F507" s="97">
        <v>223386</v>
      </c>
    </row>
    <row r="508" spans="4:6">
      <c r="D508" s="12" t="s">
        <v>1426</v>
      </c>
      <c r="E508" s="368" t="s">
        <v>1735</v>
      </c>
      <c r="F508" s="97">
        <v>493355.1</v>
      </c>
    </row>
    <row r="509" spans="4:6">
      <c r="D509" s="12" t="s">
        <v>1426</v>
      </c>
      <c r="E509" s="368" t="s">
        <v>1736</v>
      </c>
      <c r="F509" s="97">
        <v>802324</v>
      </c>
    </row>
    <row r="510" spans="4:6">
      <c r="D510" s="12" t="s">
        <v>1426</v>
      </c>
      <c r="E510" s="368" t="s">
        <v>1737</v>
      </c>
      <c r="F510" s="97">
        <v>501760</v>
      </c>
    </row>
    <row r="511" spans="4:6">
      <c r="D511" s="97" t="s">
        <v>1422</v>
      </c>
      <c r="E511" s="368" t="s">
        <v>1738</v>
      </c>
      <c r="F511" s="97">
        <v>619748.9</v>
      </c>
    </row>
    <row r="512" spans="4:6">
      <c r="D512" s="97" t="s">
        <v>1427</v>
      </c>
      <c r="E512" s="368" t="s">
        <v>1739</v>
      </c>
      <c r="F512" s="97">
        <v>174041</v>
      </c>
    </row>
    <row r="513" spans="1:8" ht="25.5">
      <c r="D513" s="97" t="s">
        <v>1427</v>
      </c>
      <c r="E513" s="368" t="s">
        <v>1742</v>
      </c>
      <c r="F513" s="97">
        <v>19506</v>
      </c>
    </row>
    <row r="514" spans="1:8">
      <c r="D514" s="97" t="s">
        <v>1423</v>
      </c>
      <c r="E514" s="368" t="s">
        <v>1740</v>
      </c>
      <c r="F514" s="97">
        <v>412352</v>
      </c>
    </row>
    <row r="515" spans="1:8">
      <c r="A515" t="s">
        <v>1745</v>
      </c>
      <c r="C515">
        <v>11</v>
      </c>
      <c r="D515" s="97"/>
      <c r="E515" s="60"/>
      <c r="F515" s="317">
        <f t="shared" ref="F515" si="10">SUM(F516:F532)</f>
        <v>163176</v>
      </c>
    </row>
    <row r="516" spans="1:8">
      <c r="D516" s="97" t="s">
        <v>1259</v>
      </c>
      <c r="E516" s="357" t="s">
        <v>1408</v>
      </c>
      <c r="F516" s="316">
        <v>5381</v>
      </c>
    </row>
    <row r="517" spans="1:8">
      <c r="D517" s="12" t="s">
        <v>1426</v>
      </c>
      <c r="E517" s="357" t="s">
        <v>1409</v>
      </c>
      <c r="F517" s="316">
        <f t="shared" ref="F517" si="11">40700-16177</f>
        <v>24523</v>
      </c>
    </row>
    <row r="518" spans="1:8">
      <c r="D518" s="97" t="s">
        <v>1422</v>
      </c>
      <c r="E518" s="357" t="s">
        <v>1410</v>
      </c>
      <c r="F518" s="316">
        <f>17127</f>
        <v>17127</v>
      </c>
    </row>
    <row r="519" spans="1:8">
      <c r="D519" s="97" t="s">
        <v>1423</v>
      </c>
      <c r="E519" s="357" t="s">
        <v>1329</v>
      </c>
      <c r="F519" s="316">
        <f>16086</f>
        <v>16086</v>
      </c>
    </row>
    <row r="520" spans="1:8">
      <c r="D520" s="97" t="s">
        <v>1827</v>
      </c>
      <c r="E520" s="357" t="s">
        <v>1411</v>
      </c>
      <c r="F520" s="316">
        <f>19924</f>
        <v>19924</v>
      </c>
    </row>
    <row r="521" spans="1:8" ht="25.5">
      <c r="D521" s="12" t="s">
        <v>1259</v>
      </c>
      <c r="E521" s="357" t="s">
        <v>1412</v>
      </c>
      <c r="F521" s="316">
        <f>7804</f>
        <v>7804</v>
      </c>
      <c r="H521" s="1"/>
    </row>
    <row r="522" spans="1:8">
      <c r="D522" s="97" t="s">
        <v>1427</v>
      </c>
      <c r="E522" s="357" t="s">
        <v>1413</v>
      </c>
      <c r="F522" s="316">
        <f>4050</f>
        <v>4050</v>
      </c>
      <c r="H522" s="1"/>
    </row>
    <row r="523" spans="1:8" ht="25.5">
      <c r="D523" s="97" t="s">
        <v>1427</v>
      </c>
      <c r="E523" s="357" t="s">
        <v>1414</v>
      </c>
      <c r="F523" s="316">
        <f>3359</f>
        <v>3359</v>
      </c>
      <c r="H523" s="1"/>
    </row>
    <row r="524" spans="1:8">
      <c r="D524" s="97" t="s">
        <v>1427</v>
      </c>
      <c r="E524" s="357" t="s">
        <v>1415</v>
      </c>
      <c r="F524" s="316">
        <v>2031</v>
      </c>
      <c r="H524" s="1"/>
    </row>
    <row r="525" spans="1:8" ht="25.5">
      <c r="D525" s="97" t="s">
        <v>1424</v>
      </c>
      <c r="E525" s="357" t="s">
        <v>1416</v>
      </c>
      <c r="F525" s="316">
        <f>4483</f>
        <v>4483</v>
      </c>
      <c r="H525" s="1"/>
    </row>
    <row r="526" spans="1:8" ht="25.5">
      <c r="D526" s="97" t="s">
        <v>1427</v>
      </c>
      <c r="E526" s="357" t="s">
        <v>1406</v>
      </c>
      <c r="F526" s="316">
        <f>4486</f>
        <v>4486</v>
      </c>
      <c r="H526" s="1"/>
    </row>
    <row r="527" spans="1:8">
      <c r="D527" s="97" t="s">
        <v>1427</v>
      </c>
      <c r="E527" s="357" t="s">
        <v>1417</v>
      </c>
      <c r="F527" s="316">
        <f>9717</f>
        <v>9717</v>
      </c>
      <c r="H527" s="1"/>
    </row>
    <row r="528" spans="1:8" ht="25.5">
      <c r="D528" s="97" t="s">
        <v>1427</v>
      </c>
      <c r="E528" s="357" t="s">
        <v>1418</v>
      </c>
      <c r="F528" s="316">
        <f>16927</f>
        <v>16927</v>
      </c>
    </row>
    <row r="529" spans="1:6" ht="25.5">
      <c r="D529" s="97" t="s">
        <v>1427</v>
      </c>
      <c r="E529" s="357" t="s">
        <v>1419</v>
      </c>
      <c r="F529" s="316">
        <f>11318</f>
        <v>11318</v>
      </c>
    </row>
    <row r="530" spans="1:6">
      <c r="D530" s="97" t="s">
        <v>1427</v>
      </c>
      <c r="E530" s="357" t="s">
        <v>1420</v>
      </c>
      <c r="F530" s="316">
        <f>2529</f>
        <v>2529</v>
      </c>
    </row>
    <row r="531" spans="1:6" ht="25.5">
      <c r="D531" s="97" t="s">
        <v>1427</v>
      </c>
      <c r="E531" s="357" t="s">
        <v>1421</v>
      </c>
      <c r="F531" s="316">
        <f>5586</f>
        <v>5586</v>
      </c>
    </row>
    <row r="532" spans="1:6" ht="25.5">
      <c r="D532" s="97" t="s">
        <v>1427</v>
      </c>
      <c r="E532" s="357" t="s">
        <v>1407</v>
      </c>
      <c r="F532" s="316">
        <f t="shared" ref="F532" si="12">1958+5887</f>
        <v>7845</v>
      </c>
    </row>
    <row r="533" spans="1:6">
      <c r="A533" t="s">
        <v>647</v>
      </c>
      <c r="C533">
        <v>11</v>
      </c>
      <c r="D533" s="97"/>
      <c r="F533" s="320">
        <f t="shared" ref="F533" si="13">SUM(F534:F542)</f>
        <v>302499.5</v>
      </c>
    </row>
    <row r="534" spans="1:6">
      <c r="D534" s="97" t="s">
        <v>1422</v>
      </c>
      <c r="E534" s="358" t="s">
        <v>1746</v>
      </c>
      <c r="F534" s="318">
        <v>10686</v>
      </c>
    </row>
    <row r="535" spans="1:6">
      <c r="D535" s="97" t="s">
        <v>1427</v>
      </c>
      <c r="E535" s="358" t="s">
        <v>1747</v>
      </c>
      <c r="F535" s="319">
        <v>211988.9</v>
      </c>
    </row>
    <row r="536" spans="1:6">
      <c r="D536" s="97" t="s">
        <v>1424</v>
      </c>
      <c r="E536" s="358" t="s">
        <v>1748</v>
      </c>
      <c r="F536" s="319">
        <v>7710.2</v>
      </c>
    </row>
    <row r="537" spans="1:6">
      <c r="D537" s="12" t="s">
        <v>1426</v>
      </c>
      <c r="E537" s="358" t="s">
        <v>1749</v>
      </c>
      <c r="F537" s="318">
        <v>47165</v>
      </c>
    </row>
    <row r="538" spans="1:6">
      <c r="D538" s="97" t="s">
        <v>1425</v>
      </c>
      <c r="E538" s="358" t="s">
        <v>1750</v>
      </c>
      <c r="F538" s="318">
        <v>19512.400000000001</v>
      </c>
    </row>
    <row r="539" spans="1:6">
      <c r="D539" s="97" t="s">
        <v>1427</v>
      </c>
      <c r="E539" s="358" t="s">
        <v>1751</v>
      </c>
      <c r="F539" s="318"/>
    </row>
    <row r="540" spans="1:6">
      <c r="D540" s="97" t="s">
        <v>1259</v>
      </c>
      <c r="E540" s="358" t="s">
        <v>1752</v>
      </c>
      <c r="F540" s="318">
        <v>2213</v>
      </c>
    </row>
    <row r="541" spans="1:6">
      <c r="D541" s="97" t="s">
        <v>1259</v>
      </c>
      <c r="E541" s="358" t="s">
        <v>1753</v>
      </c>
      <c r="F541" s="318">
        <v>2900</v>
      </c>
    </row>
    <row r="542" spans="1:6">
      <c r="D542" s="97" t="s">
        <v>1427</v>
      </c>
      <c r="E542" s="358" t="s">
        <v>1754</v>
      </c>
      <c r="F542" s="318">
        <v>324</v>
      </c>
    </row>
    <row r="543" spans="1:6">
      <c r="C543">
        <v>15</v>
      </c>
      <c r="D543" s="97"/>
      <c r="F543" s="322">
        <f t="shared" ref="F543" si="14">F544+F553+F556+F559+F560+F561+F562+F563+F564+F565</f>
        <v>3926573.7480000001</v>
      </c>
    </row>
    <row r="544" spans="1:6">
      <c r="D544" s="97"/>
      <c r="E544" s="359" t="s">
        <v>1755</v>
      </c>
      <c r="F544" s="321">
        <f t="shared" ref="F544" si="15">F546+F547+F548+F549+F550+F552+F551</f>
        <v>3575420.548</v>
      </c>
    </row>
    <row r="545" spans="4:6">
      <c r="D545" s="97"/>
      <c r="E545" s="359" t="s">
        <v>1756</v>
      </c>
      <c r="F545" s="319"/>
    </row>
    <row r="546" spans="4:6">
      <c r="D546" s="97" t="s">
        <v>1422</v>
      </c>
      <c r="E546" s="358" t="s">
        <v>1746</v>
      </c>
      <c r="F546" s="319">
        <f>845800-2469.052</f>
        <v>843330.94799999997</v>
      </c>
    </row>
    <row r="547" spans="4:6">
      <c r="D547" s="97" t="s">
        <v>1427</v>
      </c>
      <c r="E547" s="358" t="s">
        <v>1747</v>
      </c>
      <c r="F547" s="319">
        <v>166228.79999999999</v>
      </c>
    </row>
    <row r="548" spans="4:6">
      <c r="D548" s="97" t="s">
        <v>1424</v>
      </c>
      <c r="E548" s="358" t="s">
        <v>1748</v>
      </c>
      <c r="F548" s="319">
        <v>238062.4</v>
      </c>
    </row>
    <row r="549" spans="4:6">
      <c r="D549" s="12" t="s">
        <v>1426</v>
      </c>
      <c r="E549" s="358" t="s">
        <v>1749</v>
      </c>
      <c r="F549" s="319">
        <f>1445374-4510.5</f>
        <v>1440863.5</v>
      </c>
    </row>
    <row r="550" spans="4:6">
      <c r="D550" s="97" t="s">
        <v>1425</v>
      </c>
      <c r="E550" s="358" t="s">
        <v>1750</v>
      </c>
      <c r="F550" s="319">
        <f>483581-1419.6</f>
        <v>482161.4</v>
      </c>
    </row>
    <row r="551" spans="4:6">
      <c r="D551" s="97" t="s">
        <v>1423</v>
      </c>
      <c r="E551" s="358" t="s">
        <v>1757</v>
      </c>
      <c r="F551" s="319">
        <f>405964-1190.5</f>
        <v>404773.5</v>
      </c>
    </row>
    <row r="552" spans="4:6">
      <c r="D552" s="97" t="s">
        <v>1427</v>
      </c>
      <c r="E552" s="358" t="s">
        <v>1751</v>
      </c>
      <c r="F552" s="319"/>
    </row>
    <row r="553" spans="4:6">
      <c r="D553" s="97"/>
      <c r="E553" s="359" t="s">
        <v>1758</v>
      </c>
      <c r="F553" s="321">
        <f t="shared" ref="F553" si="16">F554+F555</f>
        <v>294888</v>
      </c>
    </row>
    <row r="554" spans="4:6">
      <c r="D554" s="97" t="s">
        <v>1259</v>
      </c>
      <c r="E554" s="358" t="s">
        <v>1759</v>
      </c>
      <c r="F554" s="319">
        <f>251391-732</f>
        <v>250659</v>
      </c>
    </row>
    <row r="555" spans="4:6">
      <c r="D555" s="97" t="s">
        <v>1427</v>
      </c>
      <c r="E555" s="358" t="s">
        <v>1760</v>
      </c>
      <c r="F555" s="319">
        <f>44437-208</f>
        <v>44229</v>
      </c>
    </row>
    <row r="556" spans="4:6">
      <c r="D556" s="97"/>
      <c r="E556" s="359" t="s">
        <v>1761</v>
      </c>
      <c r="F556" s="319"/>
    </row>
    <row r="557" spans="4:6">
      <c r="D557" s="12" t="s">
        <v>1259</v>
      </c>
      <c r="E557" s="358" t="s">
        <v>1753</v>
      </c>
      <c r="F557" s="319">
        <f>112023-371</f>
        <v>111652</v>
      </c>
    </row>
    <row r="558" spans="4:6">
      <c r="D558" s="97" t="s">
        <v>1427</v>
      </c>
      <c r="E558" s="358" t="s">
        <v>1762</v>
      </c>
      <c r="F558" s="319">
        <f>39724-120.2</f>
        <v>39603.800000000003</v>
      </c>
    </row>
    <row r="559" spans="4:6">
      <c r="D559" s="97" t="s">
        <v>1427</v>
      </c>
      <c r="E559" s="358" t="s">
        <v>1763</v>
      </c>
      <c r="F559" s="318">
        <v>4350</v>
      </c>
    </row>
    <row r="560" spans="4:6">
      <c r="D560" s="97" t="s">
        <v>1427</v>
      </c>
      <c r="E560" s="358" t="s">
        <v>1764</v>
      </c>
      <c r="F560" s="318">
        <v>11111</v>
      </c>
    </row>
    <row r="561" spans="1:8">
      <c r="D561" s="97" t="s">
        <v>1427</v>
      </c>
      <c r="E561" s="358" t="s">
        <v>1765</v>
      </c>
      <c r="F561" s="318">
        <v>5309</v>
      </c>
    </row>
    <row r="562" spans="1:8">
      <c r="D562" s="97" t="s">
        <v>1427</v>
      </c>
      <c r="E562" s="358" t="s">
        <v>1766</v>
      </c>
      <c r="F562" s="318">
        <v>8435</v>
      </c>
    </row>
    <row r="563" spans="1:8">
      <c r="D563" s="97" t="s">
        <v>1427</v>
      </c>
      <c r="E563" s="358" t="s">
        <v>1767</v>
      </c>
      <c r="F563" s="323">
        <v>7682</v>
      </c>
    </row>
    <row r="564" spans="1:8">
      <c r="D564" s="97" t="s">
        <v>1427</v>
      </c>
      <c r="E564" s="360" t="s">
        <v>1768</v>
      </c>
      <c r="F564" s="324">
        <v>3522.6</v>
      </c>
      <c r="H564" s="1"/>
    </row>
    <row r="565" spans="1:8">
      <c r="D565" s="97" t="s">
        <v>1427</v>
      </c>
      <c r="E565" s="360" t="s">
        <v>1754</v>
      </c>
      <c r="F565" s="324">
        <f>16132-276.4</f>
        <v>15855.6</v>
      </c>
      <c r="H565" s="1"/>
    </row>
    <row r="566" spans="1:8">
      <c r="A566" t="s">
        <v>1478</v>
      </c>
      <c r="C566" s="334" t="s">
        <v>261</v>
      </c>
      <c r="D566" s="325"/>
      <c r="E566" s="361" t="s">
        <v>325</v>
      </c>
      <c r="F566" s="326">
        <v>380419.43359999999</v>
      </c>
      <c r="H566" s="1"/>
    </row>
    <row r="567" spans="1:8">
      <c r="C567" s="335"/>
      <c r="D567" s="327" t="s">
        <v>1427</v>
      </c>
      <c r="E567" s="362" t="s">
        <v>1769</v>
      </c>
      <c r="F567" s="328">
        <v>178788</v>
      </c>
      <c r="H567" s="1"/>
    </row>
    <row r="568" spans="1:8">
      <c r="C568" s="335"/>
      <c r="D568" s="327" t="s">
        <v>1427</v>
      </c>
      <c r="E568" s="362" t="s">
        <v>1770</v>
      </c>
      <c r="F568" s="328"/>
      <c r="H568" s="1"/>
    </row>
    <row r="569" spans="1:8">
      <c r="C569" s="335"/>
      <c r="D569" s="327" t="s">
        <v>1427</v>
      </c>
      <c r="E569" s="362" t="s">
        <v>1771</v>
      </c>
      <c r="F569" s="328">
        <v>9921</v>
      </c>
      <c r="H569" s="1"/>
    </row>
    <row r="570" spans="1:8" ht="25.5">
      <c r="C570" s="335"/>
      <c r="D570" s="327" t="s">
        <v>1427</v>
      </c>
      <c r="E570" s="362" t="s">
        <v>1262</v>
      </c>
      <c r="F570" s="328"/>
      <c r="H570" s="1"/>
    </row>
    <row r="571" spans="1:8">
      <c r="C571" s="335"/>
      <c r="D571" s="327" t="s">
        <v>1422</v>
      </c>
      <c r="E571" s="362" t="s">
        <v>1772</v>
      </c>
      <c r="F571" s="328">
        <v>40183</v>
      </c>
    </row>
    <row r="572" spans="1:8">
      <c r="C572" s="335"/>
      <c r="D572" s="12" t="s">
        <v>1426</v>
      </c>
      <c r="E572" s="362" t="s">
        <v>1312</v>
      </c>
      <c r="F572" s="328">
        <v>27224</v>
      </c>
    </row>
    <row r="573" spans="1:8" ht="25.5">
      <c r="C573" s="335"/>
      <c r="D573" s="327" t="s">
        <v>1259</v>
      </c>
      <c r="E573" s="362" t="s">
        <v>1773</v>
      </c>
      <c r="F573" s="328">
        <v>9484</v>
      </c>
    </row>
    <row r="574" spans="1:8">
      <c r="C574" s="335"/>
      <c r="D574" s="12" t="s">
        <v>1424</v>
      </c>
      <c r="E574" s="362" t="s">
        <v>1774</v>
      </c>
      <c r="F574" s="328">
        <v>8954</v>
      </c>
    </row>
    <row r="575" spans="1:8" ht="25.5">
      <c r="C575" s="335"/>
      <c r="D575" s="12" t="s">
        <v>1424</v>
      </c>
      <c r="E575" s="362" t="s">
        <v>1775</v>
      </c>
      <c r="F575" s="328">
        <v>5095</v>
      </c>
    </row>
    <row r="576" spans="1:8" ht="25.5">
      <c r="C576" s="335"/>
      <c r="D576" s="327" t="s">
        <v>1425</v>
      </c>
      <c r="E576" s="362" t="s">
        <v>1776</v>
      </c>
      <c r="F576" s="328">
        <v>158767</v>
      </c>
    </row>
    <row r="577" spans="3:8" ht="25.5">
      <c r="C577" s="335"/>
      <c r="D577" s="12" t="s">
        <v>1426</v>
      </c>
      <c r="E577" s="362" t="s">
        <v>1777</v>
      </c>
      <c r="F577" s="328">
        <v>17947</v>
      </c>
    </row>
    <row r="578" spans="3:8" ht="25.5">
      <c r="C578" s="335"/>
      <c r="D578" s="327" t="s">
        <v>1424</v>
      </c>
      <c r="E578" s="362" t="s">
        <v>1778</v>
      </c>
      <c r="F578" s="328">
        <v>4687</v>
      </c>
    </row>
    <row r="579" spans="3:8" ht="25.5">
      <c r="C579" s="335"/>
      <c r="D579" s="327" t="s">
        <v>1426</v>
      </c>
      <c r="E579" s="362" t="s">
        <v>1779</v>
      </c>
      <c r="F579" s="328">
        <v>7557</v>
      </c>
    </row>
    <row r="580" spans="3:8" ht="25.5">
      <c r="C580" s="335"/>
      <c r="D580" s="12" t="s">
        <v>1426</v>
      </c>
      <c r="E580" s="362" t="s">
        <v>1780</v>
      </c>
      <c r="F580" s="329">
        <v>7190</v>
      </c>
    </row>
    <row r="581" spans="3:8" ht="25.5">
      <c r="C581" s="335"/>
      <c r="D581" s="12" t="s">
        <v>1426</v>
      </c>
      <c r="E581" s="362" t="s">
        <v>1781</v>
      </c>
      <c r="F581" s="328">
        <v>2949</v>
      </c>
    </row>
    <row r="582" spans="3:8" ht="25.5">
      <c r="C582" s="335"/>
      <c r="D582" s="12" t="s">
        <v>1426</v>
      </c>
      <c r="E582" s="362" t="s">
        <v>1782</v>
      </c>
      <c r="F582" s="328">
        <v>5067</v>
      </c>
    </row>
    <row r="583" spans="3:8" ht="25.5">
      <c r="C583" s="335"/>
      <c r="D583" s="12" t="s">
        <v>1426</v>
      </c>
      <c r="E583" s="362" t="s">
        <v>1783</v>
      </c>
      <c r="F583" s="328">
        <v>4178</v>
      </c>
      <c r="H583" s="1"/>
    </row>
    <row r="584" spans="3:8" ht="25.5">
      <c r="C584" s="335"/>
      <c r="D584" s="12" t="s">
        <v>1426</v>
      </c>
      <c r="E584" s="362" t="s">
        <v>1784</v>
      </c>
      <c r="F584" s="328">
        <v>10218.6</v>
      </c>
      <c r="H584" s="1"/>
    </row>
    <row r="585" spans="3:8" ht="25.5">
      <c r="C585" s="335"/>
      <c r="D585" s="12" t="s">
        <v>1426</v>
      </c>
      <c r="E585" s="362" t="s">
        <v>1785</v>
      </c>
      <c r="F585" s="328">
        <v>6650</v>
      </c>
      <c r="H585" s="1"/>
    </row>
    <row r="586" spans="3:8" ht="25.5">
      <c r="C586" s="335"/>
      <c r="D586" s="12" t="s">
        <v>1426</v>
      </c>
      <c r="E586" s="362" t="s">
        <v>1786</v>
      </c>
      <c r="F586" s="328">
        <v>2780</v>
      </c>
      <c r="H586" s="1"/>
    </row>
    <row r="587" spans="3:8" ht="25.5">
      <c r="C587" s="335"/>
      <c r="D587" s="12" t="s">
        <v>1426</v>
      </c>
      <c r="E587" s="362" t="s">
        <v>1787</v>
      </c>
      <c r="F587" s="328">
        <v>6919</v>
      </c>
      <c r="H587" s="1"/>
    </row>
    <row r="588" spans="3:8">
      <c r="C588" s="335"/>
      <c r="D588" s="327" t="s">
        <v>1423</v>
      </c>
      <c r="E588" s="362" t="s">
        <v>1329</v>
      </c>
      <c r="F588" s="328">
        <v>15286.03</v>
      </c>
      <c r="H588" s="1"/>
    </row>
    <row r="589" spans="3:8">
      <c r="C589" s="335"/>
      <c r="D589" s="327" t="s">
        <v>1423</v>
      </c>
      <c r="E589" s="362" t="s">
        <v>1788</v>
      </c>
      <c r="F589" s="328">
        <v>6503</v>
      </c>
      <c r="H589" s="1"/>
    </row>
    <row r="590" spans="3:8">
      <c r="C590" s="335"/>
      <c r="D590" s="327" t="s">
        <v>1427</v>
      </c>
      <c r="E590" s="362" t="s">
        <v>1789</v>
      </c>
      <c r="F590" s="328">
        <v>1572</v>
      </c>
    </row>
    <row r="591" spans="3:8" ht="25.5">
      <c r="C591" s="335"/>
      <c r="D591" s="327" t="s">
        <v>1427</v>
      </c>
      <c r="E591" s="362" t="s">
        <v>1790</v>
      </c>
      <c r="F591" s="328">
        <v>829</v>
      </c>
    </row>
    <row r="592" spans="3:8">
      <c r="C592" s="335"/>
      <c r="D592" s="327" t="s">
        <v>1427</v>
      </c>
      <c r="E592" s="362" t="s">
        <v>1791</v>
      </c>
      <c r="F592" s="328">
        <v>1683.643</v>
      </c>
    </row>
    <row r="593" spans="3:6" ht="25.5">
      <c r="C593" s="335"/>
      <c r="D593" s="327" t="s">
        <v>1427</v>
      </c>
      <c r="E593" s="362" t="s">
        <v>1792</v>
      </c>
      <c r="F593" s="328">
        <v>1619.3119999999999</v>
      </c>
    </row>
    <row r="594" spans="3:6" ht="25.5">
      <c r="C594" s="335"/>
      <c r="D594" s="327" t="s">
        <v>1427</v>
      </c>
      <c r="E594" s="362" t="s">
        <v>1793</v>
      </c>
      <c r="F594" s="328">
        <v>807</v>
      </c>
    </row>
    <row r="595" spans="3:6" ht="25.5">
      <c r="C595" s="335"/>
      <c r="D595" s="327" t="s">
        <v>1427</v>
      </c>
      <c r="E595" s="362" t="s">
        <v>1794</v>
      </c>
      <c r="F595" s="328">
        <v>711</v>
      </c>
    </row>
    <row r="596" spans="3:6" ht="25.5">
      <c r="C596" s="335"/>
      <c r="D596" s="327" t="s">
        <v>1427</v>
      </c>
      <c r="E596" s="362" t="s">
        <v>1795</v>
      </c>
      <c r="F596" s="328">
        <v>1185</v>
      </c>
    </row>
    <row r="597" spans="3:6">
      <c r="C597" s="335"/>
      <c r="D597" s="327" t="s">
        <v>1427</v>
      </c>
      <c r="E597" s="362" t="s">
        <v>1796</v>
      </c>
      <c r="F597" s="328">
        <v>695</v>
      </c>
    </row>
    <row r="598" spans="3:6">
      <c r="C598" s="335"/>
      <c r="D598" s="327" t="s">
        <v>1427</v>
      </c>
      <c r="E598" s="362" t="s">
        <v>1797</v>
      </c>
      <c r="F598" s="328">
        <v>3624</v>
      </c>
    </row>
    <row r="599" spans="3:6">
      <c r="C599" s="335"/>
      <c r="D599" s="327" t="s">
        <v>1427</v>
      </c>
      <c r="E599" s="362" t="s">
        <v>1798</v>
      </c>
      <c r="F599" s="328">
        <v>660</v>
      </c>
    </row>
    <row r="600" spans="3:6">
      <c r="C600" s="335"/>
      <c r="D600" s="327" t="s">
        <v>1427</v>
      </c>
      <c r="E600" s="362" t="s">
        <v>1799</v>
      </c>
      <c r="F600" s="328">
        <v>821</v>
      </c>
    </row>
    <row r="601" spans="3:6" ht="25.5">
      <c r="C601" s="335"/>
      <c r="D601" s="327" t="s">
        <v>1427</v>
      </c>
      <c r="E601" s="362" t="s">
        <v>1800</v>
      </c>
      <c r="F601" s="328">
        <v>3785</v>
      </c>
    </row>
    <row r="602" spans="3:6">
      <c r="C602" s="335"/>
      <c r="D602" s="327" t="s">
        <v>1427</v>
      </c>
      <c r="E602" s="362" t="s">
        <v>1801</v>
      </c>
      <c r="F602" s="328">
        <v>1008</v>
      </c>
    </row>
    <row r="603" spans="3:6">
      <c r="C603" s="335"/>
      <c r="D603" s="327" t="s">
        <v>1427</v>
      </c>
      <c r="E603" s="362" t="s">
        <v>1802</v>
      </c>
      <c r="F603" s="328">
        <v>901</v>
      </c>
    </row>
    <row r="604" spans="3:6">
      <c r="C604" s="335"/>
      <c r="D604" s="327" t="s">
        <v>1427</v>
      </c>
      <c r="E604" s="362" t="s">
        <v>1803</v>
      </c>
      <c r="F604" s="328">
        <v>800</v>
      </c>
    </row>
    <row r="605" spans="3:6">
      <c r="C605" s="335"/>
      <c r="D605" s="327" t="s">
        <v>1427</v>
      </c>
      <c r="E605" s="362" t="s">
        <v>1804</v>
      </c>
      <c r="F605" s="328">
        <v>1430.7640000000001</v>
      </c>
    </row>
    <row r="606" spans="3:6" ht="25.5">
      <c r="C606" s="335"/>
      <c r="D606" s="327" t="s">
        <v>1427</v>
      </c>
      <c r="E606" s="362" t="s">
        <v>1805</v>
      </c>
      <c r="F606" s="328">
        <v>2766</v>
      </c>
    </row>
    <row r="607" spans="3:6" ht="25.5">
      <c r="C607" s="335"/>
      <c r="D607" s="327" t="s">
        <v>1427</v>
      </c>
      <c r="E607" s="362" t="s">
        <v>1806</v>
      </c>
      <c r="F607" s="328">
        <v>842</v>
      </c>
    </row>
    <row r="608" spans="3:6">
      <c r="C608" s="335"/>
      <c r="D608" s="327" t="s">
        <v>1427</v>
      </c>
      <c r="E608" s="362" t="s">
        <v>1807</v>
      </c>
      <c r="F608" s="328">
        <v>2586.23</v>
      </c>
    </row>
    <row r="609" spans="3:6">
      <c r="C609" s="335"/>
      <c r="D609" s="327" t="s">
        <v>1427</v>
      </c>
      <c r="E609" s="362" t="s">
        <v>1808</v>
      </c>
      <c r="F609" s="328">
        <v>3304.7530000000002</v>
      </c>
    </row>
    <row r="610" spans="3:6">
      <c r="C610" s="335"/>
      <c r="D610" s="327" t="s">
        <v>1427</v>
      </c>
      <c r="E610" s="362" t="s">
        <v>1809</v>
      </c>
      <c r="F610" s="328">
        <v>1150.123</v>
      </c>
    </row>
    <row r="611" spans="3:6" ht="25.5">
      <c r="C611" s="335"/>
      <c r="D611" s="327" t="s">
        <v>1427</v>
      </c>
      <c r="E611" s="362" t="s">
        <v>1810</v>
      </c>
      <c r="F611" s="328">
        <v>8012</v>
      </c>
    </row>
    <row r="612" spans="3:6" ht="25.5">
      <c r="C612" s="335"/>
      <c r="D612" s="327" t="s">
        <v>1427</v>
      </c>
      <c r="E612" s="362" t="s">
        <v>1811</v>
      </c>
      <c r="F612" s="328">
        <v>130301.4936</v>
      </c>
    </row>
    <row r="613" spans="3:6">
      <c r="C613" s="335"/>
      <c r="D613" s="327" t="s">
        <v>1427</v>
      </c>
      <c r="E613" s="362" t="s">
        <v>1812</v>
      </c>
      <c r="F613" s="328">
        <v>53396.94</v>
      </c>
    </row>
    <row r="614" spans="3:6" ht="25.5">
      <c r="C614" s="335"/>
      <c r="D614" s="327" t="s">
        <v>1427</v>
      </c>
      <c r="E614" s="363" t="s">
        <v>1813</v>
      </c>
      <c r="F614" s="328"/>
    </row>
    <row r="615" spans="3:6">
      <c r="C615" s="334" t="s">
        <v>326</v>
      </c>
      <c r="D615" s="325"/>
      <c r="E615" s="361" t="s">
        <v>327</v>
      </c>
      <c r="F615" s="326">
        <v>8008578.9023599997</v>
      </c>
    </row>
    <row r="616" spans="3:6">
      <c r="C616" s="335"/>
      <c r="D616" s="97" t="s">
        <v>1427</v>
      </c>
      <c r="E616" s="362" t="s">
        <v>1769</v>
      </c>
      <c r="F616" s="328">
        <v>3794676</v>
      </c>
    </row>
    <row r="617" spans="3:6">
      <c r="C617" s="335"/>
      <c r="D617" s="327" t="s">
        <v>1427</v>
      </c>
      <c r="E617" s="362" t="s">
        <v>1814</v>
      </c>
      <c r="F617" s="328">
        <v>20518</v>
      </c>
    </row>
    <row r="618" spans="3:6">
      <c r="C618" s="335"/>
      <c r="D618" s="327" t="s">
        <v>1427</v>
      </c>
      <c r="E618" s="362" t="s">
        <v>1770</v>
      </c>
      <c r="F618" s="328">
        <v>130346.364</v>
      </c>
    </row>
    <row r="619" spans="3:6">
      <c r="C619" s="335"/>
      <c r="D619" s="327" t="s">
        <v>1427</v>
      </c>
      <c r="E619" s="362" t="s">
        <v>1771</v>
      </c>
      <c r="F619" s="328">
        <v>211213</v>
      </c>
    </row>
    <row r="620" spans="3:6" ht="25.5">
      <c r="C620" s="335"/>
      <c r="D620" s="327" t="s">
        <v>1427</v>
      </c>
      <c r="E620" s="362" t="s">
        <v>1810</v>
      </c>
      <c r="F620" s="328">
        <v>165453.77799999999</v>
      </c>
    </row>
    <row r="621" spans="3:6">
      <c r="C621" s="335"/>
      <c r="D621" s="327" t="s">
        <v>1427</v>
      </c>
      <c r="E621" s="362" t="s">
        <v>1815</v>
      </c>
      <c r="F621" s="328">
        <v>1219.5219999999999</v>
      </c>
    </row>
    <row r="622" spans="3:6">
      <c r="C622" s="335"/>
      <c r="D622" s="327" t="s">
        <v>1427</v>
      </c>
      <c r="E622" s="362" t="s">
        <v>1816</v>
      </c>
      <c r="F622" s="328">
        <v>2464</v>
      </c>
    </row>
    <row r="623" spans="3:6">
      <c r="C623" s="335"/>
      <c r="D623" s="327" t="s">
        <v>1427</v>
      </c>
      <c r="E623" s="362" t="s">
        <v>1817</v>
      </c>
      <c r="F623" s="328">
        <v>245</v>
      </c>
    </row>
    <row r="624" spans="3:6">
      <c r="C624" s="335"/>
      <c r="D624" s="327" t="s">
        <v>1427</v>
      </c>
      <c r="E624" s="362" t="s">
        <v>1818</v>
      </c>
      <c r="F624" s="328">
        <v>483145.73921999999</v>
      </c>
    </row>
    <row r="625" spans="3:8" ht="25.5">
      <c r="C625" s="335"/>
      <c r="D625" s="327" t="s">
        <v>1427</v>
      </c>
      <c r="E625" s="362" t="s">
        <v>1811</v>
      </c>
      <c r="F625" s="328">
        <v>805519.41342999996</v>
      </c>
    </row>
    <row r="626" spans="3:8" ht="25.5">
      <c r="C626" s="335"/>
      <c r="D626" s="327" t="s">
        <v>1427</v>
      </c>
      <c r="E626" s="362" t="s">
        <v>1819</v>
      </c>
      <c r="F626" s="328">
        <v>70986.188450000001</v>
      </c>
    </row>
    <row r="627" spans="3:8">
      <c r="C627" s="335"/>
      <c r="D627" s="327" t="s">
        <v>1427</v>
      </c>
      <c r="E627" s="362" t="s">
        <v>1820</v>
      </c>
      <c r="F627" s="328">
        <v>115369.68626</v>
      </c>
    </row>
    <row r="628" spans="3:8">
      <c r="C628" s="335"/>
      <c r="D628" s="327" t="s">
        <v>1427</v>
      </c>
      <c r="E628" s="362" t="s">
        <v>1821</v>
      </c>
      <c r="F628" s="328">
        <v>262631.897</v>
      </c>
    </row>
    <row r="629" spans="3:8">
      <c r="C629" s="335"/>
      <c r="D629" s="327" t="s">
        <v>1427</v>
      </c>
      <c r="E629" s="362" t="s">
        <v>1822</v>
      </c>
      <c r="F629" s="328">
        <v>15075</v>
      </c>
    </row>
    <row r="630" spans="3:8">
      <c r="C630" s="335"/>
      <c r="D630" s="327" t="s">
        <v>1427</v>
      </c>
      <c r="E630" s="362" t="s">
        <v>1823</v>
      </c>
      <c r="F630" s="328">
        <v>165</v>
      </c>
    </row>
    <row r="631" spans="3:8">
      <c r="C631" s="335"/>
      <c r="D631" s="327" t="s">
        <v>1427</v>
      </c>
      <c r="E631" s="362" t="s">
        <v>1812</v>
      </c>
      <c r="F631" s="328">
        <v>1881655.314</v>
      </c>
    </row>
    <row r="632" spans="3:8">
      <c r="C632" s="335"/>
      <c r="D632" s="327" t="s">
        <v>1427</v>
      </c>
      <c r="E632" s="362" t="s">
        <v>1824</v>
      </c>
      <c r="F632" s="328">
        <v>38048</v>
      </c>
    </row>
    <row r="633" spans="3:8">
      <c r="C633" s="335"/>
      <c r="D633" s="327" t="s">
        <v>1427</v>
      </c>
      <c r="E633" s="362" t="s">
        <v>1825</v>
      </c>
      <c r="F633" s="328">
        <v>7170</v>
      </c>
    </row>
    <row r="634" spans="3:8">
      <c r="C634" s="335"/>
      <c r="D634" s="327" t="s">
        <v>1427</v>
      </c>
      <c r="E634" s="362" t="s">
        <v>1826</v>
      </c>
      <c r="F634" s="328">
        <v>2677</v>
      </c>
    </row>
    <row r="635" spans="3:8">
      <c r="C635" s="335"/>
      <c r="D635" s="327" t="s">
        <v>1422</v>
      </c>
      <c r="E635" s="362" t="s">
        <v>1772</v>
      </c>
      <c r="F635" s="330">
        <v>1109810</v>
      </c>
      <c r="H635" s="1"/>
    </row>
    <row r="636" spans="3:8">
      <c r="C636" s="335"/>
      <c r="D636" s="12" t="s">
        <v>1426</v>
      </c>
      <c r="E636" s="362" t="s">
        <v>1312</v>
      </c>
      <c r="F636" s="330">
        <v>1115595</v>
      </c>
      <c r="H636" s="1"/>
    </row>
    <row r="637" spans="3:8" ht="25.5">
      <c r="C637" s="335"/>
      <c r="D637" s="327" t="s">
        <v>1259</v>
      </c>
      <c r="E637" s="362" t="s">
        <v>1773</v>
      </c>
      <c r="F637" s="330">
        <v>340762</v>
      </c>
      <c r="H637" s="1"/>
    </row>
    <row r="638" spans="3:8">
      <c r="C638" s="335"/>
      <c r="D638" s="12" t="s">
        <v>1424</v>
      </c>
      <c r="E638" s="362" t="s">
        <v>1774</v>
      </c>
      <c r="F638" s="330">
        <v>252492</v>
      </c>
      <c r="H638" s="1"/>
    </row>
    <row r="639" spans="3:8" ht="25.5">
      <c r="C639" s="335"/>
      <c r="D639" s="12" t="s">
        <v>1424</v>
      </c>
      <c r="E639" s="362" t="s">
        <v>1775</v>
      </c>
      <c r="F639" s="330">
        <v>160568</v>
      </c>
      <c r="H639" s="1"/>
    </row>
    <row r="640" spans="3:8" ht="25.5">
      <c r="C640" s="335"/>
      <c r="D640" s="12" t="s">
        <v>1426</v>
      </c>
      <c r="E640" s="362" t="s">
        <v>1776</v>
      </c>
      <c r="F640" s="330">
        <v>820284</v>
      </c>
      <c r="H640" s="1"/>
    </row>
    <row r="641" spans="3:8" ht="25.5">
      <c r="C641" s="335"/>
      <c r="D641" s="12" t="s">
        <v>1426</v>
      </c>
      <c r="E641" s="362" t="s">
        <v>1777</v>
      </c>
      <c r="F641" s="330">
        <v>587362</v>
      </c>
      <c r="H641" s="1"/>
    </row>
    <row r="642" spans="3:8" ht="25.5">
      <c r="C642" s="335"/>
      <c r="D642" s="12" t="s">
        <v>1426</v>
      </c>
      <c r="E642" s="362" t="s">
        <v>1778</v>
      </c>
      <c r="F642" s="330">
        <v>164748</v>
      </c>
    </row>
    <row r="643" spans="3:8" ht="25.5">
      <c r="C643" s="335"/>
      <c r="D643" s="12" t="s">
        <v>1426</v>
      </c>
      <c r="E643" s="362" t="s">
        <v>1779</v>
      </c>
      <c r="F643" s="330">
        <v>264494</v>
      </c>
    </row>
    <row r="644" spans="3:8" ht="25.5">
      <c r="C644" s="335"/>
      <c r="D644" s="12" t="s">
        <v>1426</v>
      </c>
      <c r="E644" s="362" t="s">
        <v>1780</v>
      </c>
      <c r="F644" s="330">
        <v>231236</v>
      </c>
    </row>
    <row r="645" spans="3:8" ht="25.5">
      <c r="C645" s="335"/>
      <c r="D645" s="12" t="s">
        <v>1426</v>
      </c>
      <c r="E645" s="362" t="s">
        <v>1781</v>
      </c>
      <c r="F645" s="330">
        <v>75418</v>
      </c>
    </row>
    <row r="646" spans="3:8" ht="25.5">
      <c r="C646" s="335"/>
      <c r="D646" s="12" t="s">
        <v>1426</v>
      </c>
      <c r="E646" s="362" t="s">
        <v>1782</v>
      </c>
      <c r="F646" s="330">
        <v>113491</v>
      </c>
    </row>
    <row r="647" spans="3:8" ht="25.5">
      <c r="C647" s="335"/>
      <c r="D647" s="12" t="s">
        <v>1426</v>
      </c>
      <c r="E647" s="362" t="s">
        <v>1783</v>
      </c>
      <c r="F647" s="330">
        <v>150651</v>
      </c>
    </row>
    <row r="648" spans="3:8" ht="25.5">
      <c r="C648" s="335"/>
      <c r="D648" s="12" t="s">
        <v>1426</v>
      </c>
      <c r="E648" s="362" t="s">
        <v>1784</v>
      </c>
      <c r="F648" s="330">
        <v>376804</v>
      </c>
    </row>
    <row r="649" spans="3:8" ht="25.5">
      <c r="C649" s="335"/>
      <c r="D649" s="12" t="s">
        <v>1426</v>
      </c>
      <c r="E649" s="362" t="s">
        <v>1785</v>
      </c>
      <c r="F649" s="330">
        <v>192408</v>
      </c>
    </row>
    <row r="650" spans="3:8" ht="25.5">
      <c r="C650" s="335"/>
      <c r="D650" s="12" t="s">
        <v>1426</v>
      </c>
      <c r="E650" s="362" t="s">
        <v>1786</v>
      </c>
      <c r="F650" s="330">
        <v>89511</v>
      </c>
    </row>
    <row r="651" spans="3:8" ht="25.5">
      <c r="C651" s="335"/>
      <c r="D651" s="12" t="s">
        <v>1426</v>
      </c>
      <c r="E651" s="362" t="s">
        <v>1787</v>
      </c>
      <c r="F651" s="330">
        <v>247957</v>
      </c>
    </row>
    <row r="652" spans="3:8" ht="25.5">
      <c r="C652" s="335"/>
      <c r="D652" s="12" t="s">
        <v>1426</v>
      </c>
      <c r="E652" s="362" t="s">
        <v>1262</v>
      </c>
      <c r="F652" s="330">
        <v>139004.01800000001</v>
      </c>
    </row>
    <row r="653" spans="3:8">
      <c r="C653" s="335"/>
      <c r="D653" s="327" t="s">
        <v>1423</v>
      </c>
      <c r="E653" s="362" t="s">
        <v>1329</v>
      </c>
      <c r="F653" s="330">
        <v>434045.95300000004</v>
      </c>
    </row>
    <row r="654" spans="3:8">
      <c r="C654" s="335"/>
      <c r="D654" s="327" t="s">
        <v>1422</v>
      </c>
      <c r="E654" s="362" t="s">
        <v>1788</v>
      </c>
      <c r="F654" s="330">
        <v>202595</v>
      </c>
    </row>
    <row r="655" spans="3:8">
      <c r="C655" s="335"/>
      <c r="D655" s="327" t="s">
        <v>1427</v>
      </c>
      <c r="E655" s="362" t="s">
        <v>1789</v>
      </c>
      <c r="F655" s="330">
        <v>50970.750999999997</v>
      </c>
    </row>
    <row r="656" spans="3:8" ht="25.5">
      <c r="C656" s="335"/>
      <c r="D656" s="327" t="s">
        <v>1427</v>
      </c>
      <c r="E656" s="362" t="s">
        <v>1790</v>
      </c>
      <c r="F656" s="330">
        <v>19321</v>
      </c>
    </row>
    <row r="657" spans="3:8">
      <c r="C657" s="335"/>
      <c r="D657" s="327" t="s">
        <v>1427</v>
      </c>
      <c r="E657" s="362" t="s">
        <v>1791</v>
      </c>
      <c r="F657" s="330">
        <v>41614.483</v>
      </c>
    </row>
    <row r="658" spans="3:8" ht="25.5">
      <c r="C658" s="335"/>
      <c r="D658" s="327" t="s">
        <v>1427</v>
      </c>
      <c r="E658" s="362" t="s">
        <v>1792</v>
      </c>
      <c r="F658" s="330">
        <v>44373.616999999998</v>
      </c>
    </row>
    <row r="659" spans="3:8" ht="25.5">
      <c r="C659" s="335"/>
      <c r="D659" s="327" t="s">
        <v>1427</v>
      </c>
      <c r="E659" s="362" t="s">
        <v>1793</v>
      </c>
      <c r="F659" s="330">
        <v>31953.977999999999</v>
      </c>
    </row>
    <row r="660" spans="3:8" ht="25.5">
      <c r="C660" s="335"/>
      <c r="D660" s="327" t="s">
        <v>1427</v>
      </c>
      <c r="E660" s="362" t="s">
        <v>1794</v>
      </c>
      <c r="F660" s="330">
        <v>24770.525000000001</v>
      </c>
    </row>
    <row r="661" spans="3:8" ht="25.5">
      <c r="C661" s="335"/>
      <c r="D661" s="327" t="s">
        <v>1427</v>
      </c>
      <c r="E661" s="362" t="s">
        <v>1795</v>
      </c>
      <c r="F661" s="330">
        <v>44586.946000000004</v>
      </c>
    </row>
    <row r="662" spans="3:8">
      <c r="C662" s="335"/>
      <c r="D662" s="327" t="s">
        <v>1427</v>
      </c>
      <c r="E662" s="362" t="s">
        <v>1796</v>
      </c>
      <c r="F662" s="330">
        <v>36479.26</v>
      </c>
    </row>
    <row r="663" spans="3:8">
      <c r="C663" s="335"/>
      <c r="D663" s="327" t="s">
        <v>1427</v>
      </c>
      <c r="E663" s="362" t="s">
        <v>1797</v>
      </c>
      <c r="F663" s="330">
        <v>83785.895000000004</v>
      </c>
    </row>
    <row r="664" spans="3:8">
      <c r="C664" s="335"/>
      <c r="D664" s="327" t="s">
        <v>1427</v>
      </c>
      <c r="E664" s="362" t="s">
        <v>1798</v>
      </c>
      <c r="F664" s="330">
        <v>32697.094000000001</v>
      </c>
      <c r="H664" s="1"/>
    </row>
    <row r="665" spans="3:8">
      <c r="C665" s="335"/>
      <c r="D665" s="327" t="s">
        <v>1427</v>
      </c>
      <c r="E665" s="362" t="s">
        <v>1799</v>
      </c>
      <c r="F665" s="330">
        <v>27495.282999999999</v>
      </c>
      <c r="H665" s="1"/>
    </row>
    <row r="666" spans="3:8" ht="25.5">
      <c r="C666" s="335"/>
      <c r="D666" s="327" t="s">
        <v>1427</v>
      </c>
      <c r="E666" s="362" t="s">
        <v>1800</v>
      </c>
      <c r="F666" s="330">
        <v>73045.646999999997</v>
      </c>
      <c r="H666" s="1"/>
    </row>
    <row r="667" spans="3:8">
      <c r="C667" s="335"/>
      <c r="D667" s="327" t="s">
        <v>1427</v>
      </c>
      <c r="E667" s="362" t="s">
        <v>1801</v>
      </c>
      <c r="F667" s="330">
        <v>31062.239000000001</v>
      </c>
      <c r="H667" s="1"/>
    </row>
    <row r="668" spans="3:8">
      <c r="C668" s="335"/>
      <c r="D668" s="327" t="s">
        <v>1427</v>
      </c>
      <c r="E668" s="362" t="s">
        <v>1802</v>
      </c>
      <c r="F668" s="330">
        <v>23559.522000000001</v>
      </c>
      <c r="H668" s="1"/>
    </row>
    <row r="669" spans="3:8">
      <c r="C669" s="335"/>
      <c r="D669" s="327" t="s">
        <v>1427</v>
      </c>
      <c r="E669" s="362" t="s">
        <v>1803</v>
      </c>
      <c r="F669" s="330">
        <v>32697.094000000001</v>
      </c>
      <c r="H669" s="1"/>
    </row>
    <row r="670" spans="3:8">
      <c r="C670" s="335"/>
      <c r="D670" s="327" t="s">
        <v>1427</v>
      </c>
      <c r="E670" s="362" t="s">
        <v>1804</v>
      </c>
      <c r="F670" s="330">
        <v>25671.272000000001</v>
      </c>
      <c r="H670" s="1"/>
    </row>
    <row r="671" spans="3:8" ht="25.5">
      <c r="C671" s="335"/>
      <c r="D671" s="327" t="s">
        <v>1427</v>
      </c>
      <c r="E671" s="362" t="s">
        <v>1805</v>
      </c>
      <c r="F671" s="330">
        <v>64930.440999999999</v>
      </c>
    </row>
    <row r="672" spans="3:8" ht="25.5">
      <c r="C672" s="335"/>
      <c r="D672" s="327" t="s">
        <v>1427</v>
      </c>
      <c r="E672" s="362" t="s">
        <v>1806</v>
      </c>
      <c r="F672" s="330">
        <v>22184.641</v>
      </c>
    </row>
    <row r="673" spans="3:6">
      <c r="C673" s="335"/>
      <c r="D673" s="327" t="s">
        <v>1427</v>
      </c>
      <c r="E673" s="362" t="s">
        <v>1807</v>
      </c>
      <c r="F673" s="330">
        <v>92620.842999999993</v>
      </c>
    </row>
    <row r="674" spans="3:6">
      <c r="C674" s="335"/>
      <c r="D674" s="327" t="s">
        <v>1427</v>
      </c>
      <c r="E674" s="362" t="s">
        <v>1808</v>
      </c>
      <c r="F674" s="330">
        <v>119946.45299999999</v>
      </c>
    </row>
    <row r="675" spans="3:6">
      <c r="C675" s="335"/>
      <c r="D675" s="327" t="s">
        <v>1427</v>
      </c>
      <c r="E675" s="362" t="s">
        <v>1809</v>
      </c>
      <c r="F675" s="330">
        <v>15575.907999999999</v>
      </c>
    </row>
    <row r="676" spans="3:6">
      <c r="C676" s="327"/>
      <c r="D676" s="327"/>
      <c r="E676" s="371"/>
      <c r="F676" s="328"/>
    </row>
    <row r="677" spans="3:6">
      <c r="C677" s="327"/>
      <c r="D677" s="327"/>
      <c r="E677" s="371"/>
      <c r="F677" s="328"/>
    </row>
    <row r="678" spans="3:6">
      <c r="C678" s="327"/>
      <c r="D678" s="327"/>
      <c r="E678" s="371"/>
      <c r="F678" s="328"/>
    </row>
    <row r="679" spans="3:6">
      <c r="C679" s="372"/>
      <c r="D679" s="325"/>
      <c r="E679" s="373"/>
      <c r="F679" s="328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735"/>
  <sheetViews>
    <sheetView zoomScale="90" zoomScaleNormal="90" workbookViewId="0">
      <selection activeCell="K22" sqref="K22"/>
    </sheetView>
  </sheetViews>
  <sheetFormatPr defaultRowHeight="12.75"/>
  <cols>
    <col min="2" max="2" width="7.28515625" customWidth="1"/>
    <col min="3" max="3" width="19.28515625" customWidth="1"/>
    <col min="4" max="4" width="12.7109375" customWidth="1"/>
    <col min="5" max="5" width="45.42578125" customWidth="1"/>
    <col min="6" max="6" width="16" customWidth="1"/>
    <col min="9" max="9" width="13.5703125" customWidth="1"/>
    <col min="10" max="10" width="14.28515625" customWidth="1"/>
    <col min="11" max="11" width="15.5703125" customWidth="1"/>
    <col min="12" max="12" width="15.28515625" customWidth="1"/>
  </cols>
  <sheetData>
    <row r="1" spans="1:12" s="687" customFormat="1" ht="66.75" customHeight="1">
      <c r="A1" s="683" t="s">
        <v>1616</v>
      </c>
      <c r="B1" s="683"/>
      <c r="C1" s="684" t="s">
        <v>1600</v>
      </c>
      <c r="D1" s="685"/>
      <c r="E1" s="683"/>
      <c r="F1" s="686"/>
      <c r="K1" s="687" t="s">
        <v>1575</v>
      </c>
    </row>
    <row r="2" spans="1:12" ht="23.25" customHeight="1">
      <c r="A2" s="688"/>
      <c r="B2" s="688" t="s">
        <v>261</v>
      </c>
      <c r="C2" s="689" t="s">
        <v>325</v>
      </c>
      <c r="D2" s="690" t="s">
        <v>1427</v>
      </c>
      <c r="E2" s="691" t="s">
        <v>2184</v>
      </c>
      <c r="F2" s="692">
        <v>2476</v>
      </c>
      <c r="I2" s="12" t="s">
        <v>1427</v>
      </c>
      <c r="J2" s="693">
        <f>SUMIF($D$2:$D$724,"общ",$F$2:$F$725)</f>
        <v>11833432.794949999</v>
      </c>
      <c r="K2" s="374">
        <f>J2*100/$J$9</f>
        <v>15.940392162766958</v>
      </c>
      <c r="L2" s="693">
        <f>K2*$I$13/100</f>
        <v>13191568.254715435</v>
      </c>
    </row>
    <row r="3" spans="1:12" ht="23.25" customHeight="1">
      <c r="A3" s="688"/>
      <c r="B3" s="688"/>
      <c r="C3" s="688"/>
      <c r="D3" s="690" t="s">
        <v>1427</v>
      </c>
      <c r="E3" s="691" t="s">
        <v>2184</v>
      </c>
      <c r="F3" s="692">
        <v>78710.847439999998</v>
      </c>
      <c r="I3" s="12" t="s">
        <v>1422</v>
      </c>
      <c r="J3" s="693">
        <f>SUMIF($D$2:$D$724,"псих",$F$2:$F$725)</f>
        <v>12398362.022790002</v>
      </c>
      <c r="K3" s="374">
        <f>J3*100/$J$9</f>
        <v>16.701388028634536</v>
      </c>
      <c r="L3" s="693">
        <f>K3*$I$13/100</f>
        <v>13821335.000956256</v>
      </c>
    </row>
    <row r="4" spans="1:12" ht="23.25" customHeight="1">
      <c r="A4" s="688"/>
      <c r="B4" s="688"/>
      <c r="C4" s="688"/>
      <c r="D4" s="690" t="s">
        <v>1426</v>
      </c>
      <c r="E4" s="691" t="s">
        <v>2185</v>
      </c>
      <c r="F4" s="692">
        <v>59704</v>
      </c>
      <c r="I4" s="12" t="s">
        <v>1423</v>
      </c>
      <c r="J4" s="693">
        <f>SUMIF($D$2:$D$724,"нарко",$F$2:$F$725)</f>
        <v>6483726.3962299991</v>
      </c>
      <c r="K4" s="374">
        <f t="shared" ref="K4:K9" si="0">J4*100/$J$9</f>
        <v>8.7339948789920552</v>
      </c>
      <c r="L4" s="693">
        <f t="shared" ref="L4:L9" si="1">K4*$I$13/100</f>
        <v>7227870.4567679577</v>
      </c>
    </row>
    <row r="5" spans="1:12" ht="23.25" customHeight="1">
      <c r="A5" s="688"/>
      <c r="B5" s="688"/>
      <c r="C5" s="688"/>
      <c r="D5" s="690" t="s">
        <v>1427</v>
      </c>
      <c r="E5" s="691" t="s">
        <v>2186</v>
      </c>
      <c r="F5" s="692">
        <v>4346</v>
      </c>
      <c r="I5" s="12" t="s">
        <v>1259</v>
      </c>
      <c r="J5" s="693">
        <f>SUMIF($D$2:$D$724,"туб",$F$2:$F$725)</f>
        <v>3561339.6436500004</v>
      </c>
      <c r="K5" s="374">
        <f t="shared" si="0"/>
        <v>4.7973526810256093</v>
      </c>
      <c r="L5" s="693">
        <f t="shared" si="1"/>
        <v>3970078.3197485884</v>
      </c>
    </row>
    <row r="6" spans="1:12" ht="23.25" customHeight="1">
      <c r="A6" s="688"/>
      <c r="B6" s="688"/>
      <c r="C6" s="688"/>
      <c r="D6" s="690" t="s">
        <v>1427</v>
      </c>
      <c r="E6" s="691" t="s">
        <v>2187</v>
      </c>
      <c r="F6" s="692">
        <v>2896</v>
      </c>
      <c r="I6" s="12" t="s">
        <v>1424</v>
      </c>
      <c r="J6" s="693">
        <f>SUMIF($D$2:$D$724,"туб сан",$F$2:$F$725)</f>
        <v>4519299.7300499994</v>
      </c>
      <c r="K6" s="374">
        <f t="shared" si="0"/>
        <v>6.0877862955225606</v>
      </c>
      <c r="L6" s="693">
        <f>K6*$I$13/100</f>
        <v>5037984.4873005431</v>
      </c>
    </row>
    <row r="7" spans="1:12" ht="23.25" customHeight="1">
      <c r="A7" s="688"/>
      <c r="B7" s="688"/>
      <c r="C7" s="688"/>
      <c r="D7" s="690" t="s">
        <v>1422</v>
      </c>
      <c r="E7" s="691" t="s">
        <v>2188</v>
      </c>
      <c r="F7" s="692">
        <v>126174.8</v>
      </c>
      <c r="I7" s="12" t="s">
        <v>1426</v>
      </c>
      <c r="J7" s="693">
        <f>SUMIF($D$2:$D$724,"туб дисп",$F$2:$F$725)</f>
        <v>25254719.034710001</v>
      </c>
      <c r="K7" s="374">
        <f t="shared" si="0"/>
        <v>34.019724652137498</v>
      </c>
      <c r="L7" s="693">
        <f t="shared" si="1"/>
        <v>28153229.555012297</v>
      </c>
    </row>
    <row r="8" spans="1:12" ht="23.25" customHeight="1">
      <c r="A8" s="688"/>
      <c r="B8" s="688"/>
      <c r="C8" s="688"/>
      <c r="D8" s="690" t="s">
        <v>1427</v>
      </c>
      <c r="E8" s="691" t="s">
        <v>2189</v>
      </c>
      <c r="F8" s="692">
        <v>6687</v>
      </c>
      <c r="I8" s="12" t="s">
        <v>1425</v>
      </c>
      <c r="J8" s="693">
        <f>SUMIF($D$2:$D$724,"инф",$F$2:$F$725)</f>
        <v>10184639.015549999</v>
      </c>
      <c r="K8" s="374">
        <f t="shared" si="0"/>
        <v>13.719361300920776</v>
      </c>
      <c r="L8" s="693">
        <f>K8*$I$13/100</f>
        <v>11353540.688598916</v>
      </c>
    </row>
    <row r="9" spans="1:12" ht="23.25" customHeight="1">
      <c r="A9" s="688"/>
      <c r="B9" s="688"/>
      <c r="C9" s="688"/>
      <c r="D9" s="690" t="s">
        <v>1427</v>
      </c>
      <c r="E9" s="691" t="s">
        <v>2190</v>
      </c>
      <c r="F9" s="692">
        <v>1796</v>
      </c>
      <c r="J9" s="370">
        <f>SUM(J2:J8)</f>
        <v>74235518.637930006</v>
      </c>
      <c r="K9" s="374">
        <f t="shared" si="0"/>
        <v>100</v>
      </c>
      <c r="L9" s="693">
        <f t="shared" si="1"/>
        <v>82755606.763099998</v>
      </c>
    </row>
    <row r="10" spans="1:12" ht="23.25" customHeight="1">
      <c r="A10" s="688"/>
      <c r="B10" s="688"/>
      <c r="C10" s="688"/>
      <c r="D10" s="690" t="s">
        <v>1427</v>
      </c>
      <c r="E10" s="691" t="s">
        <v>2191</v>
      </c>
      <c r="F10" s="692">
        <v>1707</v>
      </c>
      <c r="I10" s="97" t="s">
        <v>1443</v>
      </c>
      <c r="K10">
        <v>2016</v>
      </c>
    </row>
    <row r="11" spans="1:12" ht="23.25" customHeight="1">
      <c r="A11" s="688"/>
      <c r="B11" s="688"/>
      <c r="C11" s="688"/>
      <c r="D11" s="690" t="s">
        <v>1427</v>
      </c>
      <c r="E11" s="691" t="s">
        <v>2192</v>
      </c>
      <c r="F11" s="692">
        <v>1057</v>
      </c>
      <c r="I11" s="421">
        <v>69558341.576000005</v>
      </c>
      <c r="K11" s="12" t="s">
        <v>1427</v>
      </c>
      <c r="L11" s="693">
        <v>13191568.254715435</v>
      </c>
    </row>
    <row r="12" spans="1:12" ht="23.25" customHeight="1">
      <c r="A12" s="688"/>
      <c r="B12" s="688"/>
      <c r="C12" s="688"/>
      <c r="D12" s="690" t="s">
        <v>1427</v>
      </c>
      <c r="E12" s="691" t="s">
        <v>2193</v>
      </c>
      <c r="F12" s="692">
        <v>1628</v>
      </c>
      <c r="I12" s="421">
        <v>13197265.187100001</v>
      </c>
      <c r="K12" s="12" t="s">
        <v>1422</v>
      </c>
      <c r="L12" s="693">
        <v>13821335.000956256</v>
      </c>
    </row>
    <row r="13" spans="1:12" ht="23.25" customHeight="1">
      <c r="A13" s="688"/>
      <c r="B13" s="688"/>
      <c r="C13" s="688"/>
      <c r="D13" s="690" t="s">
        <v>1427</v>
      </c>
      <c r="E13" s="691" t="s">
        <v>2194</v>
      </c>
      <c r="F13" s="692">
        <v>1472</v>
      </c>
      <c r="I13" s="421">
        <f>SUM(I11:I12)</f>
        <v>82755606.763099998</v>
      </c>
      <c r="K13" s="12" t="s">
        <v>1423</v>
      </c>
      <c r="L13" s="693">
        <v>7227870.4567679577</v>
      </c>
    </row>
    <row r="14" spans="1:12" ht="23.25" customHeight="1">
      <c r="A14" s="688"/>
      <c r="B14" s="688"/>
      <c r="C14" s="688"/>
      <c r="D14" s="690" t="s">
        <v>1427</v>
      </c>
      <c r="E14" s="691" t="s">
        <v>2195</v>
      </c>
      <c r="F14" s="692">
        <v>2220</v>
      </c>
      <c r="K14" s="12" t="s">
        <v>1259</v>
      </c>
      <c r="L14" s="693">
        <v>3970078.3197485884</v>
      </c>
    </row>
    <row r="15" spans="1:12" ht="23.25" customHeight="1">
      <c r="A15" s="688"/>
      <c r="B15" s="688"/>
      <c r="C15" s="688"/>
      <c r="D15" s="690" t="s">
        <v>1427</v>
      </c>
      <c r="E15" s="691" t="s">
        <v>2196</v>
      </c>
      <c r="F15" s="692">
        <v>2593</v>
      </c>
      <c r="K15" s="12" t="s">
        <v>1424</v>
      </c>
      <c r="L15" s="693">
        <v>5037984.4873005431</v>
      </c>
    </row>
    <row r="16" spans="1:12" ht="23.25" customHeight="1">
      <c r="A16" s="688"/>
      <c r="B16" s="688"/>
      <c r="C16" s="688"/>
      <c r="D16" s="690" t="s">
        <v>1423</v>
      </c>
      <c r="E16" s="691" t="s">
        <v>2197</v>
      </c>
      <c r="F16" s="692">
        <v>26000</v>
      </c>
      <c r="K16" s="12" t="s">
        <v>1426</v>
      </c>
      <c r="L16" s="693">
        <v>28153229.555012297</v>
      </c>
    </row>
    <row r="17" spans="1:12" ht="23.25" customHeight="1">
      <c r="A17" s="688"/>
      <c r="B17" s="688"/>
      <c r="C17" s="688"/>
      <c r="D17" s="690" t="s">
        <v>1426</v>
      </c>
      <c r="E17" s="691" t="s">
        <v>2198</v>
      </c>
      <c r="F17" s="692">
        <v>24146</v>
      </c>
      <c r="K17" s="12" t="s">
        <v>1425</v>
      </c>
      <c r="L17" s="693">
        <v>11353540.688598916</v>
      </c>
    </row>
    <row r="18" spans="1:12" ht="23.25" customHeight="1">
      <c r="A18" s="688"/>
      <c r="B18" s="688"/>
      <c r="C18" s="688"/>
      <c r="D18" s="690" t="s">
        <v>1424</v>
      </c>
      <c r="E18" s="691" t="s">
        <v>2199</v>
      </c>
      <c r="F18" s="692">
        <v>25420.5</v>
      </c>
    </row>
    <row r="19" spans="1:12" ht="23.25" customHeight="1">
      <c r="A19" s="688"/>
      <c r="B19" s="688"/>
      <c r="C19" s="688"/>
      <c r="D19" s="690" t="s">
        <v>1426</v>
      </c>
      <c r="E19" s="691" t="s">
        <v>2200</v>
      </c>
      <c r="F19" s="692">
        <v>21228</v>
      </c>
    </row>
    <row r="20" spans="1:12" ht="23.25" customHeight="1">
      <c r="A20" s="688"/>
      <c r="B20" s="688"/>
      <c r="C20" s="688"/>
      <c r="D20" s="690" t="s">
        <v>1259</v>
      </c>
      <c r="E20" s="691" t="s">
        <v>2201</v>
      </c>
      <c r="F20" s="692">
        <v>17095.5</v>
      </c>
      <c r="I20" s="1"/>
    </row>
    <row r="21" spans="1:12" ht="23.25" customHeight="1">
      <c r="A21" s="688"/>
      <c r="B21" s="688"/>
      <c r="C21" s="688"/>
      <c r="D21" s="690" t="s">
        <v>1427</v>
      </c>
      <c r="E21" s="691" t="s">
        <v>2202</v>
      </c>
      <c r="F21" s="692">
        <v>3534</v>
      </c>
      <c r="I21" s="1"/>
    </row>
    <row r="22" spans="1:12" ht="23.25" customHeight="1">
      <c r="A22" s="688"/>
      <c r="B22" s="688"/>
      <c r="C22" s="688"/>
      <c r="D22" s="690" t="s">
        <v>1427</v>
      </c>
      <c r="E22" s="691" t="s">
        <v>2203</v>
      </c>
      <c r="F22" s="692">
        <v>4248</v>
      </c>
      <c r="I22" s="1"/>
    </row>
    <row r="23" spans="1:12" ht="28.5" customHeight="1">
      <c r="A23" s="688"/>
      <c r="B23" s="688"/>
      <c r="C23" s="688"/>
      <c r="D23" s="690" t="s">
        <v>1427</v>
      </c>
      <c r="E23" s="691" t="s">
        <v>2204</v>
      </c>
      <c r="F23" s="692">
        <v>703</v>
      </c>
      <c r="I23" s="1"/>
    </row>
    <row r="24" spans="1:12" ht="23.25" customHeight="1">
      <c r="A24" s="688"/>
      <c r="B24" s="688"/>
      <c r="C24" s="689" t="s">
        <v>1603</v>
      </c>
      <c r="D24" s="690"/>
      <c r="E24" s="688"/>
      <c r="F24" s="694"/>
      <c r="I24" s="1"/>
    </row>
    <row r="25" spans="1:12" ht="23.25" customHeight="1">
      <c r="A25" s="688"/>
      <c r="B25" s="688" t="s">
        <v>326</v>
      </c>
      <c r="C25" s="689" t="s">
        <v>1604</v>
      </c>
      <c r="D25" s="690" t="s">
        <v>1427</v>
      </c>
      <c r="E25" s="691" t="s">
        <v>2190</v>
      </c>
      <c r="F25" s="692">
        <v>19269</v>
      </c>
      <c r="I25" s="1"/>
    </row>
    <row r="26" spans="1:12" ht="23.25" customHeight="1">
      <c r="A26" s="688"/>
      <c r="B26" s="688"/>
      <c r="C26" s="688"/>
      <c r="D26" s="690" t="s">
        <v>1427</v>
      </c>
      <c r="E26" s="691" t="s">
        <v>2202</v>
      </c>
      <c r="F26" s="692">
        <v>25756</v>
      </c>
    </row>
    <row r="27" spans="1:12" ht="23.25" customHeight="1">
      <c r="A27" s="688"/>
      <c r="B27" s="688"/>
      <c r="C27" s="688"/>
      <c r="D27" s="690" t="s">
        <v>1427</v>
      </c>
      <c r="E27" s="691" t="s">
        <v>2193</v>
      </c>
      <c r="F27" s="692">
        <v>15473.8</v>
      </c>
    </row>
    <row r="28" spans="1:12" ht="23.25" customHeight="1">
      <c r="A28" s="688"/>
      <c r="B28" s="688"/>
      <c r="C28" s="688"/>
      <c r="D28" s="690" t="s">
        <v>1422</v>
      </c>
      <c r="E28" s="691" t="s">
        <v>2188</v>
      </c>
      <c r="F28" s="692">
        <v>859010.3</v>
      </c>
    </row>
    <row r="29" spans="1:12" ht="23.25" customHeight="1">
      <c r="A29" s="688"/>
      <c r="B29" s="688"/>
      <c r="C29" s="688"/>
      <c r="D29" s="690" t="s">
        <v>1426</v>
      </c>
      <c r="E29" s="691" t="s">
        <v>2185</v>
      </c>
      <c r="F29" s="692">
        <v>765048</v>
      </c>
    </row>
    <row r="30" spans="1:12" ht="23.25" customHeight="1">
      <c r="A30" s="688"/>
      <c r="B30" s="688"/>
      <c r="C30" s="688"/>
      <c r="D30" s="690" t="s">
        <v>1423</v>
      </c>
      <c r="E30" s="691" t="s">
        <v>2197</v>
      </c>
      <c r="F30" s="692">
        <v>353047</v>
      </c>
    </row>
    <row r="31" spans="1:12" ht="23.25" customHeight="1">
      <c r="A31" s="688"/>
      <c r="B31" s="688"/>
      <c r="C31" s="688"/>
      <c r="D31" s="690" t="s">
        <v>1427</v>
      </c>
      <c r="E31" s="691" t="s">
        <v>2186</v>
      </c>
      <c r="F31" s="692">
        <v>25106</v>
      </c>
    </row>
    <row r="32" spans="1:12" ht="23.25" customHeight="1">
      <c r="A32" s="688"/>
      <c r="B32" s="688"/>
      <c r="C32" s="688"/>
      <c r="D32" s="690" t="s">
        <v>1427</v>
      </c>
      <c r="E32" s="691" t="s">
        <v>2187</v>
      </c>
      <c r="F32" s="692">
        <v>15658</v>
      </c>
    </row>
    <row r="33" spans="1:9" ht="23.25" customHeight="1">
      <c r="A33" s="688"/>
      <c r="B33" s="688"/>
      <c r="C33" s="688"/>
      <c r="D33" s="690" t="s">
        <v>1427</v>
      </c>
      <c r="E33" s="691" t="s">
        <v>2189</v>
      </c>
      <c r="F33" s="692">
        <v>35236.699999999997</v>
      </c>
    </row>
    <row r="34" spans="1:9" ht="23.25" customHeight="1">
      <c r="A34" s="688"/>
      <c r="B34" s="688"/>
      <c r="C34" s="688"/>
      <c r="D34" s="690" t="s">
        <v>1427</v>
      </c>
      <c r="E34" s="691" t="s">
        <v>2194</v>
      </c>
      <c r="F34" s="692">
        <v>15225</v>
      </c>
    </row>
    <row r="35" spans="1:9" ht="23.25" customHeight="1">
      <c r="A35" s="688"/>
      <c r="B35" s="688"/>
      <c r="C35" s="688"/>
      <c r="D35" s="690" t="s">
        <v>1427</v>
      </c>
      <c r="E35" s="691" t="s">
        <v>2195</v>
      </c>
      <c r="F35" s="692">
        <v>15212</v>
      </c>
    </row>
    <row r="36" spans="1:9" ht="23.25" customHeight="1">
      <c r="A36" s="688"/>
      <c r="B36" s="688"/>
      <c r="C36" s="688"/>
      <c r="D36" s="690" t="s">
        <v>1427</v>
      </c>
      <c r="E36" s="691" t="s">
        <v>2205</v>
      </c>
      <c r="F36" s="692">
        <v>11845</v>
      </c>
      <c r="I36" s="1"/>
    </row>
    <row r="37" spans="1:9" ht="23.25" customHeight="1">
      <c r="A37" s="688"/>
      <c r="B37" s="688"/>
      <c r="C37" s="688"/>
      <c r="D37" s="690" t="s">
        <v>1427</v>
      </c>
      <c r="E37" s="691" t="s">
        <v>2206</v>
      </c>
      <c r="F37" s="692">
        <v>54966</v>
      </c>
      <c r="I37" s="1"/>
    </row>
    <row r="38" spans="1:9" ht="23.25" customHeight="1">
      <c r="A38" s="688"/>
      <c r="B38" s="688"/>
      <c r="C38" s="688"/>
      <c r="D38" s="690" t="s">
        <v>1427</v>
      </c>
      <c r="E38" s="691" t="s">
        <v>1614</v>
      </c>
      <c r="F38" s="692">
        <v>27992.9</v>
      </c>
      <c r="I38" s="1"/>
    </row>
    <row r="39" spans="1:9" ht="23.25" customHeight="1">
      <c r="A39" s="688"/>
      <c r="B39" s="688"/>
      <c r="C39" s="688"/>
      <c r="D39" s="690" t="s">
        <v>1427</v>
      </c>
      <c r="E39" s="691" t="s">
        <v>2207</v>
      </c>
      <c r="F39" s="692">
        <v>50576.7</v>
      </c>
      <c r="I39" s="1"/>
    </row>
    <row r="40" spans="1:9" ht="23.25" customHeight="1">
      <c r="A40" s="688"/>
      <c r="B40" s="688"/>
      <c r="C40" s="688"/>
      <c r="D40" s="690" t="s">
        <v>1426</v>
      </c>
      <c r="E40" s="691" t="s">
        <v>2198</v>
      </c>
      <c r="F40" s="692">
        <v>160620</v>
      </c>
      <c r="I40" s="1"/>
    </row>
    <row r="41" spans="1:9" ht="23.25" customHeight="1">
      <c r="A41" s="688"/>
      <c r="B41" s="688"/>
      <c r="C41" s="688"/>
      <c r="D41" s="690" t="s">
        <v>1424</v>
      </c>
      <c r="E41" s="691" t="s">
        <v>2199</v>
      </c>
      <c r="F41" s="692">
        <v>263156</v>
      </c>
      <c r="I41" s="1"/>
    </row>
    <row r="42" spans="1:9" ht="23.25" customHeight="1">
      <c r="A42" s="688"/>
      <c r="B42" s="688"/>
      <c r="C42" s="688"/>
      <c r="D42" s="690" t="s">
        <v>1426</v>
      </c>
      <c r="E42" s="691" t="s">
        <v>2200</v>
      </c>
      <c r="F42" s="692">
        <v>183918</v>
      </c>
      <c r="I42" s="1"/>
    </row>
    <row r="43" spans="1:9" ht="23.25" customHeight="1">
      <c r="A43" s="688"/>
      <c r="B43" s="688"/>
      <c r="C43" s="688"/>
      <c r="D43" s="690" t="s">
        <v>1427</v>
      </c>
      <c r="E43" s="691" t="s">
        <v>2191</v>
      </c>
      <c r="F43" s="692">
        <v>16258</v>
      </c>
      <c r="I43" s="1"/>
    </row>
    <row r="44" spans="1:9" ht="23.25" customHeight="1">
      <c r="A44" s="688"/>
      <c r="B44" s="688"/>
      <c r="C44" s="688"/>
      <c r="D44" s="690" t="s">
        <v>2208</v>
      </c>
      <c r="E44" s="691" t="s">
        <v>2201</v>
      </c>
      <c r="F44" s="692">
        <v>169599</v>
      </c>
      <c r="I44" s="1"/>
    </row>
    <row r="45" spans="1:9" ht="23.25" customHeight="1">
      <c r="A45" s="688"/>
      <c r="B45" s="688"/>
      <c r="C45" s="688"/>
      <c r="D45" s="690" t="s">
        <v>1427</v>
      </c>
      <c r="E45" s="691" t="s">
        <v>2192</v>
      </c>
      <c r="F45" s="692">
        <v>12457</v>
      </c>
      <c r="I45" s="1"/>
    </row>
    <row r="46" spans="1:9" ht="23.25" customHeight="1">
      <c r="A46" s="688"/>
      <c r="B46" s="688"/>
      <c r="C46" s="688"/>
      <c r="D46" s="690" t="s">
        <v>1427</v>
      </c>
      <c r="E46" s="691" t="s">
        <v>2196</v>
      </c>
      <c r="F46" s="692">
        <v>23275</v>
      </c>
      <c r="I46" s="1"/>
    </row>
    <row r="47" spans="1:9" ht="23.25" customHeight="1">
      <c r="A47" s="688"/>
      <c r="B47" s="688"/>
      <c r="C47" s="688"/>
      <c r="D47" s="690" t="s">
        <v>1427</v>
      </c>
      <c r="E47" s="691" t="s">
        <v>2209</v>
      </c>
      <c r="F47" s="692">
        <v>42548.6</v>
      </c>
      <c r="I47" s="1"/>
    </row>
    <row r="48" spans="1:9" ht="23.25" customHeight="1">
      <c r="A48" s="688"/>
      <c r="B48" s="688"/>
      <c r="C48" s="688"/>
      <c r="D48" s="690" t="s">
        <v>1427</v>
      </c>
      <c r="E48" s="691" t="s">
        <v>2203</v>
      </c>
      <c r="F48" s="692">
        <v>27823</v>
      </c>
      <c r="I48" s="1"/>
    </row>
    <row r="49" spans="1:9" ht="23.25" customHeight="1">
      <c r="A49" s="688"/>
      <c r="B49" s="688"/>
      <c r="C49" s="688"/>
      <c r="D49" s="690" t="s">
        <v>1427</v>
      </c>
      <c r="E49" s="691" t="s">
        <v>2210</v>
      </c>
      <c r="F49" s="692">
        <v>11361</v>
      </c>
      <c r="I49" s="1"/>
    </row>
    <row r="50" spans="1:9" ht="23.25" customHeight="1">
      <c r="A50" s="688"/>
      <c r="B50" s="688"/>
      <c r="C50" s="688"/>
      <c r="D50" s="690"/>
      <c r="E50" s="695"/>
      <c r="F50" s="694"/>
      <c r="I50" s="1"/>
    </row>
    <row r="51" spans="1:9" s="687" customFormat="1" ht="24.75" customHeight="1">
      <c r="A51" s="683" t="s">
        <v>1618</v>
      </c>
      <c r="B51" s="696" t="s">
        <v>253</v>
      </c>
      <c r="C51" s="697" t="s">
        <v>261</v>
      </c>
      <c r="D51" s="698"/>
      <c r="E51" s="699"/>
      <c r="F51" s="700"/>
    </row>
    <row r="52" spans="1:9">
      <c r="A52" s="688"/>
      <c r="B52" s="701"/>
      <c r="C52" s="702"/>
      <c r="D52" s="690"/>
      <c r="E52" s="703" t="s">
        <v>1617</v>
      </c>
      <c r="F52" s="704"/>
      <c r="I52" s="1"/>
    </row>
    <row r="53" spans="1:9" ht="36">
      <c r="A53" s="688"/>
      <c r="B53" s="701"/>
      <c r="C53" s="702"/>
      <c r="D53" s="690" t="s">
        <v>1427</v>
      </c>
      <c r="E53" s="705" t="s">
        <v>2211</v>
      </c>
      <c r="F53" s="706">
        <v>2557.4050000000002</v>
      </c>
    </row>
    <row r="54" spans="1:9" ht="36">
      <c r="A54" s="688"/>
      <c r="B54" s="701"/>
      <c r="C54" s="702"/>
      <c r="D54" s="690" t="s">
        <v>1426</v>
      </c>
      <c r="E54" s="705" t="s">
        <v>2212</v>
      </c>
      <c r="F54" s="706">
        <v>68543.851200000005</v>
      </c>
    </row>
    <row r="55" spans="1:9" ht="24">
      <c r="A55" s="688"/>
      <c r="B55" s="701"/>
      <c r="C55" s="702"/>
      <c r="D55" s="690" t="s">
        <v>1424</v>
      </c>
      <c r="E55" s="705" t="s">
        <v>2213</v>
      </c>
      <c r="F55" s="706">
        <v>7999.98</v>
      </c>
    </row>
    <row r="56" spans="1:9" ht="15" customHeight="1">
      <c r="A56" s="688"/>
      <c r="B56" s="701"/>
      <c r="C56" s="702"/>
      <c r="D56" s="690" t="s">
        <v>1259</v>
      </c>
      <c r="E56" s="705" t="s">
        <v>2214</v>
      </c>
      <c r="F56" s="706">
        <v>6787.5</v>
      </c>
    </row>
    <row r="57" spans="1:9" ht="36">
      <c r="A57" s="688"/>
      <c r="B57" s="701"/>
      <c r="C57" s="702"/>
      <c r="D57" s="690" t="s">
        <v>1259</v>
      </c>
      <c r="E57" s="705" t="s">
        <v>2215</v>
      </c>
      <c r="F57" s="706">
        <v>6620.9920000000002</v>
      </c>
    </row>
    <row r="58" spans="1:9" ht="36">
      <c r="A58" s="688"/>
      <c r="B58" s="701"/>
      <c r="C58" s="702"/>
      <c r="D58" s="690" t="s">
        <v>1424</v>
      </c>
      <c r="E58" s="705" t="s">
        <v>2216</v>
      </c>
      <c r="F58" s="706">
        <v>11781.39</v>
      </c>
    </row>
    <row r="59" spans="1:9" ht="36">
      <c r="A59" s="688"/>
      <c r="B59" s="701"/>
      <c r="C59" s="702"/>
      <c r="D59" s="690" t="s">
        <v>1422</v>
      </c>
      <c r="E59" s="705" t="s">
        <v>2217</v>
      </c>
      <c r="F59" s="706">
        <v>37838.977939999997</v>
      </c>
    </row>
    <row r="60" spans="1:9" ht="36">
      <c r="A60" s="688"/>
      <c r="B60" s="701"/>
      <c r="C60" s="702"/>
      <c r="D60" s="690" t="s">
        <v>1425</v>
      </c>
      <c r="E60" s="705" t="s">
        <v>2218</v>
      </c>
      <c r="F60" s="706">
        <v>9997.402</v>
      </c>
    </row>
    <row r="61" spans="1:9" ht="36">
      <c r="A61" s="688"/>
      <c r="B61" s="701"/>
      <c r="C61" s="702"/>
      <c r="D61" s="690" t="s">
        <v>1427</v>
      </c>
      <c r="E61" s="705" t="s">
        <v>2219</v>
      </c>
      <c r="F61" s="706">
        <v>2003.4839999999999</v>
      </c>
    </row>
    <row r="62" spans="1:9" ht="36">
      <c r="A62" s="688"/>
      <c r="B62" s="701"/>
      <c r="C62" s="702"/>
      <c r="D62" s="690" t="s">
        <v>1427</v>
      </c>
      <c r="E62" s="705" t="s">
        <v>2211</v>
      </c>
      <c r="F62" s="706">
        <v>35471.56</v>
      </c>
    </row>
    <row r="63" spans="1:9" ht="36">
      <c r="A63" s="688"/>
      <c r="B63" s="701"/>
      <c r="C63" s="702"/>
      <c r="D63" s="690" t="s">
        <v>1423</v>
      </c>
      <c r="E63" s="705" t="s">
        <v>2220</v>
      </c>
      <c r="F63" s="706">
        <v>21998.537</v>
      </c>
    </row>
    <row r="64" spans="1:9">
      <c r="A64" s="688"/>
      <c r="B64" s="707" t="s">
        <v>253</v>
      </c>
      <c r="C64" s="708" t="s">
        <v>326</v>
      </c>
      <c r="D64" s="690"/>
      <c r="E64" s="709"/>
      <c r="F64" s="710"/>
    </row>
    <row r="65" spans="1:6">
      <c r="A65" s="688"/>
      <c r="B65" s="701"/>
      <c r="C65" s="702"/>
      <c r="D65" s="690"/>
      <c r="E65" s="703" t="s">
        <v>1617</v>
      </c>
      <c r="F65" s="711"/>
    </row>
    <row r="66" spans="1:6" ht="22.5">
      <c r="A66" s="688"/>
      <c r="B66" s="701"/>
      <c r="C66" s="702"/>
      <c r="D66" s="690" t="s">
        <v>1425</v>
      </c>
      <c r="E66" s="712" t="s">
        <v>2218</v>
      </c>
      <c r="F66" s="713">
        <v>227363.36</v>
      </c>
    </row>
    <row r="67" spans="1:6" ht="33.75">
      <c r="A67" s="688"/>
      <c r="B67" s="701"/>
      <c r="C67" s="702"/>
      <c r="D67" s="690" t="s">
        <v>1427</v>
      </c>
      <c r="E67" s="712" t="s">
        <v>2221</v>
      </c>
      <c r="F67" s="713">
        <v>1565.748</v>
      </c>
    </row>
    <row r="68" spans="1:6" ht="22.5">
      <c r="A68" s="688"/>
      <c r="B68" s="701"/>
      <c r="C68" s="702"/>
      <c r="D68" s="690" t="s">
        <v>1427</v>
      </c>
      <c r="E68" s="712" t="s">
        <v>2222</v>
      </c>
      <c r="F68" s="713">
        <v>589.26</v>
      </c>
    </row>
    <row r="69" spans="1:6" ht="22.5">
      <c r="A69" s="688"/>
      <c r="B69" s="701"/>
      <c r="C69" s="702"/>
      <c r="D69" s="690" t="s">
        <v>1427</v>
      </c>
      <c r="E69" s="712" t="s">
        <v>2223</v>
      </c>
      <c r="F69" s="713">
        <v>1767.78</v>
      </c>
    </row>
    <row r="70" spans="1:6" ht="22.5">
      <c r="A70" s="688"/>
      <c r="B70" s="701"/>
      <c r="C70" s="702"/>
      <c r="D70" s="690" t="s">
        <v>1427</v>
      </c>
      <c r="E70" s="712" t="s">
        <v>2224</v>
      </c>
      <c r="F70" s="713">
        <v>2357.04</v>
      </c>
    </row>
    <row r="71" spans="1:6" ht="22.5">
      <c r="A71" s="688"/>
      <c r="B71" s="701"/>
      <c r="C71" s="702"/>
      <c r="D71" s="690" t="s">
        <v>1427</v>
      </c>
      <c r="E71" s="712" t="s">
        <v>2225</v>
      </c>
      <c r="F71" s="713">
        <v>10608.962</v>
      </c>
    </row>
    <row r="72" spans="1:6" ht="22.5">
      <c r="A72" s="688"/>
      <c r="B72" s="701"/>
      <c r="C72" s="702"/>
      <c r="D72" s="690" t="s">
        <v>1427</v>
      </c>
      <c r="E72" s="712" t="s">
        <v>2226</v>
      </c>
      <c r="F72" s="713">
        <v>1506.8219999999999</v>
      </c>
    </row>
    <row r="73" spans="1:6" ht="22.5">
      <c r="A73" s="688"/>
      <c r="B73" s="701"/>
      <c r="C73" s="702"/>
      <c r="D73" s="690" t="s">
        <v>1427</v>
      </c>
      <c r="E73" s="712" t="s">
        <v>2227</v>
      </c>
      <c r="F73" s="713">
        <v>1565.748</v>
      </c>
    </row>
    <row r="74" spans="1:6" ht="22.5">
      <c r="A74" s="688"/>
      <c r="B74" s="701"/>
      <c r="C74" s="702"/>
      <c r="D74" s="690" t="s">
        <v>1427</v>
      </c>
      <c r="E74" s="712" t="s">
        <v>2228</v>
      </c>
      <c r="F74" s="713">
        <v>2087.6640000000002</v>
      </c>
    </row>
    <row r="75" spans="1:6" ht="22.5">
      <c r="A75" s="688"/>
      <c r="B75" s="701"/>
      <c r="C75" s="702"/>
      <c r="D75" s="690" t="s">
        <v>1427</v>
      </c>
      <c r="E75" s="712" t="s">
        <v>2229</v>
      </c>
      <c r="F75" s="713">
        <v>17233.024000000001</v>
      </c>
    </row>
    <row r="76" spans="1:6" ht="22.5">
      <c r="A76" s="688"/>
      <c r="B76" s="701"/>
      <c r="C76" s="702"/>
      <c r="D76" s="690" t="s">
        <v>1427</v>
      </c>
      <c r="E76" s="712" t="s">
        <v>2230</v>
      </c>
      <c r="F76" s="713">
        <v>2087.6640000000002</v>
      </c>
    </row>
    <row r="77" spans="1:6" ht="22.5">
      <c r="A77" s="688"/>
      <c r="B77" s="701"/>
      <c r="C77" s="702"/>
      <c r="D77" s="690" t="s">
        <v>1427</v>
      </c>
      <c r="E77" s="712" t="s">
        <v>2231</v>
      </c>
      <c r="F77" s="713">
        <v>1506.8219999999999</v>
      </c>
    </row>
    <row r="78" spans="1:6" ht="22.5">
      <c r="A78" s="688"/>
      <c r="B78" s="701"/>
      <c r="C78" s="702"/>
      <c r="D78" s="690" t="s">
        <v>1427</v>
      </c>
      <c r="E78" s="712" t="s">
        <v>2232</v>
      </c>
      <c r="F78" s="713">
        <v>917.56200000000001</v>
      </c>
    </row>
    <row r="79" spans="1:6" ht="33.75">
      <c r="A79" s="688"/>
      <c r="B79" s="701"/>
      <c r="C79" s="702"/>
      <c r="D79" s="690" t="s">
        <v>1426</v>
      </c>
      <c r="E79" s="712" t="s">
        <v>2233</v>
      </c>
      <c r="F79" s="713">
        <v>977509.09500000009</v>
      </c>
    </row>
    <row r="80" spans="1:6" ht="33.75">
      <c r="A80" s="688"/>
      <c r="B80" s="701"/>
      <c r="C80" s="702"/>
      <c r="D80" s="690" t="s">
        <v>1424</v>
      </c>
      <c r="E80" s="712" t="s">
        <v>2216</v>
      </c>
      <c r="F80" s="713">
        <v>346954</v>
      </c>
    </row>
    <row r="81" spans="1:9" ht="22.5">
      <c r="A81" s="688"/>
      <c r="B81" s="701"/>
      <c r="C81" s="702"/>
      <c r="D81" s="690" t="s">
        <v>1424</v>
      </c>
      <c r="E81" s="712" t="s">
        <v>2234</v>
      </c>
      <c r="F81" s="713">
        <v>88220.609999999986</v>
      </c>
    </row>
    <row r="82" spans="1:9" ht="22.5">
      <c r="A82" s="688"/>
      <c r="B82" s="701"/>
      <c r="C82" s="702"/>
      <c r="D82" s="690" t="s">
        <v>1259</v>
      </c>
      <c r="E82" s="712" t="s">
        <v>2235</v>
      </c>
      <c r="F82" s="713">
        <v>142744.44</v>
      </c>
    </row>
    <row r="83" spans="1:9" ht="22.5">
      <c r="A83" s="688"/>
      <c r="B83" s="701"/>
      <c r="C83" s="702"/>
      <c r="D83" s="690" t="s">
        <v>1259</v>
      </c>
      <c r="E83" s="712" t="s">
        <v>2236</v>
      </c>
      <c r="F83" s="713">
        <v>145956.96</v>
      </c>
    </row>
    <row r="84" spans="1:9" ht="33.75">
      <c r="A84" s="688"/>
      <c r="B84" s="701"/>
      <c r="C84" s="702"/>
      <c r="D84" s="690" t="s">
        <v>1427</v>
      </c>
      <c r="E84" s="712" t="s">
        <v>2211</v>
      </c>
      <c r="F84" s="713">
        <v>32915.07</v>
      </c>
    </row>
    <row r="85" spans="1:9" ht="33.75">
      <c r="A85" s="688"/>
      <c r="B85" s="701"/>
      <c r="C85" s="702"/>
      <c r="D85" s="690" t="s">
        <v>1422</v>
      </c>
      <c r="E85" s="712" t="s">
        <v>2237</v>
      </c>
      <c r="F85" s="713">
        <v>411898.86962000001</v>
      </c>
    </row>
    <row r="86" spans="1:9" ht="22.5">
      <c r="A86" s="688"/>
      <c r="B86" s="701"/>
      <c r="C86" s="702"/>
      <c r="D86" s="690" t="s">
        <v>1423</v>
      </c>
      <c r="E86" s="712" t="s">
        <v>2220</v>
      </c>
      <c r="F86" s="713">
        <v>275466.14399999997</v>
      </c>
    </row>
    <row r="87" spans="1:9" ht="33.75">
      <c r="A87" s="688"/>
      <c r="B87" s="701"/>
      <c r="C87" s="702"/>
      <c r="D87" s="690" t="s">
        <v>1427</v>
      </c>
      <c r="E87" s="712" t="s">
        <v>2211</v>
      </c>
      <c r="F87" s="713">
        <v>179998.19</v>
      </c>
    </row>
    <row r="88" spans="1:9" ht="22.5">
      <c r="A88" s="688"/>
      <c r="B88" s="701"/>
      <c r="C88" s="702"/>
      <c r="D88" s="690" t="s">
        <v>1427</v>
      </c>
      <c r="E88" s="712" t="s">
        <v>2229</v>
      </c>
      <c r="F88" s="713">
        <v>4603.2</v>
      </c>
    </row>
    <row r="89" spans="1:9" ht="22.5">
      <c r="A89" s="688"/>
      <c r="B89" s="701"/>
      <c r="C89" s="702"/>
      <c r="D89" s="690" t="s">
        <v>1427</v>
      </c>
      <c r="E89" s="712" t="s">
        <v>2238</v>
      </c>
      <c r="F89" s="713">
        <v>5692.9479999999994</v>
      </c>
    </row>
    <row r="90" spans="1:9">
      <c r="A90" s="688"/>
      <c r="B90" s="701"/>
      <c r="C90" s="702"/>
      <c r="D90" s="690"/>
      <c r="E90" s="705"/>
      <c r="F90" s="706"/>
      <c r="I90" s="1"/>
    </row>
    <row r="91" spans="1:9" s="687" customFormat="1" ht="60">
      <c r="A91" s="684" t="s">
        <v>637</v>
      </c>
      <c r="B91" s="683"/>
      <c r="C91" s="714" t="s">
        <v>253</v>
      </c>
      <c r="D91" s="715"/>
      <c r="E91" s="716" t="s">
        <v>339</v>
      </c>
      <c r="F91" s="717"/>
    </row>
    <row r="92" spans="1:9">
      <c r="A92" s="688"/>
      <c r="B92" s="688"/>
      <c r="C92" s="718">
        <v>11</v>
      </c>
      <c r="D92" s="719"/>
      <c r="E92" s="720" t="s">
        <v>325</v>
      </c>
      <c r="F92" s="721"/>
    </row>
    <row r="93" spans="1:9">
      <c r="A93" s="688"/>
      <c r="B93" s="688"/>
      <c r="C93" s="722"/>
      <c r="D93" s="719" t="s">
        <v>1427</v>
      </c>
      <c r="E93" s="723" t="s">
        <v>2239</v>
      </c>
      <c r="F93" s="724">
        <v>6492</v>
      </c>
    </row>
    <row r="94" spans="1:9">
      <c r="A94" s="688"/>
      <c r="B94" s="688"/>
      <c r="C94" s="722"/>
      <c r="D94" s="719" t="s">
        <v>1427</v>
      </c>
      <c r="E94" s="723" t="s">
        <v>2240</v>
      </c>
      <c r="F94" s="724">
        <v>10127</v>
      </c>
    </row>
    <row r="95" spans="1:9">
      <c r="A95" s="688"/>
      <c r="B95" s="688"/>
      <c r="C95" s="722"/>
      <c r="D95" s="719" t="s">
        <v>1427</v>
      </c>
      <c r="E95" s="723" t="s">
        <v>2241</v>
      </c>
      <c r="F95" s="724">
        <v>4958</v>
      </c>
    </row>
    <row r="96" spans="1:9">
      <c r="A96" s="688"/>
      <c r="B96" s="688"/>
      <c r="C96" s="722"/>
      <c r="D96" s="719" t="s">
        <v>1427</v>
      </c>
      <c r="E96" s="723" t="s">
        <v>2242</v>
      </c>
      <c r="F96" s="724">
        <v>3270</v>
      </c>
    </row>
    <row r="97" spans="1:6">
      <c r="A97" s="688"/>
      <c r="B97" s="688"/>
      <c r="C97" s="722"/>
      <c r="D97" s="719" t="s">
        <v>1427</v>
      </c>
      <c r="E97" s="723" t="s">
        <v>2243</v>
      </c>
      <c r="F97" s="724">
        <v>35509</v>
      </c>
    </row>
    <row r="98" spans="1:6">
      <c r="A98" s="688"/>
      <c r="B98" s="688"/>
      <c r="C98" s="722"/>
      <c r="D98" s="719" t="s">
        <v>1427</v>
      </c>
      <c r="E98" s="723" t="s">
        <v>2244</v>
      </c>
      <c r="F98" s="724">
        <v>10510</v>
      </c>
    </row>
    <row r="99" spans="1:6">
      <c r="A99" s="688"/>
      <c r="B99" s="688"/>
      <c r="C99" s="722"/>
      <c r="D99" s="719" t="s">
        <v>1427</v>
      </c>
      <c r="E99" s="723" t="s">
        <v>2245</v>
      </c>
      <c r="F99" s="724">
        <v>6768</v>
      </c>
    </row>
    <row r="100" spans="1:6">
      <c r="A100" s="688"/>
      <c r="B100" s="688"/>
      <c r="C100" s="722"/>
      <c r="D100" s="719" t="s">
        <v>1427</v>
      </c>
      <c r="E100" s="723" t="s">
        <v>2246</v>
      </c>
      <c r="F100" s="724">
        <v>2607</v>
      </c>
    </row>
    <row r="101" spans="1:6">
      <c r="A101" s="688"/>
      <c r="B101" s="688"/>
      <c r="C101" s="722"/>
      <c r="D101" s="719" t="s">
        <v>1427</v>
      </c>
      <c r="E101" s="723" t="s">
        <v>2247</v>
      </c>
      <c r="F101" s="724">
        <v>4290</v>
      </c>
    </row>
    <row r="102" spans="1:6">
      <c r="A102" s="688"/>
      <c r="B102" s="688"/>
      <c r="C102" s="722"/>
      <c r="D102" s="719" t="s">
        <v>1427</v>
      </c>
      <c r="E102" s="723" t="s">
        <v>2248</v>
      </c>
      <c r="F102" s="724">
        <v>7684</v>
      </c>
    </row>
    <row r="103" spans="1:6">
      <c r="A103" s="688"/>
      <c r="B103" s="688"/>
      <c r="C103" s="722"/>
      <c r="D103" s="719" t="s">
        <v>1427</v>
      </c>
      <c r="E103" s="723" t="s">
        <v>2249</v>
      </c>
      <c r="F103" s="724">
        <v>24018</v>
      </c>
    </row>
    <row r="104" spans="1:6">
      <c r="A104" s="688"/>
      <c r="B104" s="688"/>
      <c r="C104" s="722"/>
      <c r="D104" s="719" t="s">
        <v>1427</v>
      </c>
      <c r="E104" s="723" t="s">
        <v>2250</v>
      </c>
      <c r="F104" s="724">
        <v>3815</v>
      </c>
    </row>
    <row r="105" spans="1:6">
      <c r="A105" s="688"/>
      <c r="B105" s="688"/>
      <c r="C105" s="722"/>
      <c r="D105" s="719" t="s">
        <v>1427</v>
      </c>
      <c r="E105" s="723" t="s">
        <v>2251</v>
      </c>
      <c r="F105" s="724">
        <v>1782</v>
      </c>
    </row>
    <row r="106" spans="1:6">
      <c r="A106" s="688"/>
      <c r="B106" s="688"/>
      <c r="C106" s="722"/>
      <c r="D106" s="719" t="s">
        <v>1427</v>
      </c>
      <c r="E106" s="723" t="s">
        <v>2252</v>
      </c>
      <c r="F106" s="724">
        <v>10853</v>
      </c>
    </row>
    <row r="107" spans="1:6">
      <c r="A107" s="688"/>
      <c r="B107" s="688"/>
      <c r="C107" s="722"/>
      <c r="D107" s="719" t="s">
        <v>1427</v>
      </c>
      <c r="E107" s="723" t="s">
        <v>2253</v>
      </c>
      <c r="F107" s="724">
        <v>3579</v>
      </c>
    </row>
    <row r="108" spans="1:6">
      <c r="A108" s="688"/>
      <c r="B108" s="688"/>
      <c r="C108" s="722"/>
      <c r="D108" s="719" t="s">
        <v>1427</v>
      </c>
      <c r="E108" s="723" t="s">
        <v>2254</v>
      </c>
      <c r="F108" s="724">
        <v>3508</v>
      </c>
    </row>
    <row r="109" spans="1:6">
      <c r="A109" s="688"/>
      <c r="B109" s="688"/>
      <c r="C109" s="722"/>
      <c r="D109" s="719" t="s">
        <v>1427</v>
      </c>
      <c r="E109" s="723" t="s">
        <v>2255</v>
      </c>
      <c r="F109" s="724">
        <v>3190</v>
      </c>
    </row>
    <row r="110" spans="1:6">
      <c r="A110" s="688"/>
      <c r="B110" s="688"/>
      <c r="C110" s="722"/>
      <c r="D110" s="719" t="s">
        <v>1423</v>
      </c>
      <c r="E110" s="723" t="s">
        <v>2256</v>
      </c>
      <c r="F110" s="724">
        <v>31430</v>
      </c>
    </row>
    <row r="111" spans="1:6">
      <c r="A111" s="688"/>
      <c r="B111" s="688"/>
      <c r="C111" s="722"/>
      <c r="D111" s="719" t="s">
        <v>1423</v>
      </c>
      <c r="E111" s="723" t="s">
        <v>2257</v>
      </c>
      <c r="F111" s="724">
        <v>40905</v>
      </c>
    </row>
    <row r="112" spans="1:6" s="1" customFormat="1">
      <c r="A112" s="688"/>
      <c r="B112" s="688"/>
      <c r="C112" s="722"/>
      <c r="D112" s="719" t="s">
        <v>1422</v>
      </c>
      <c r="E112" s="723" t="s">
        <v>2258</v>
      </c>
      <c r="F112" s="725">
        <v>40738</v>
      </c>
    </row>
    <row r="113" spans="1:8">
      <c r="A113" s="688"/>
      <c r="B113" s="688"/>
      <c r="C113" s="722"/>
      <c r="D113" s="719" t="s">
        <v>1425</v>
      </c>
      <c r="E113" s="720" t="s">
        <v>2259</v>
      </c>
      <c r="F113" s="721">
        <v>32708</v>
      </c>
    </row>
    <row r="114" spans="1:8">
      <c r="A114" s="688"/>
      <c r="B114" s="688"/>
      <c r="C114" s="722"/>
      <c r="D114" s="719" t="s">
        <v>1426</v>
      </c>
      <c r="E114" s="720" t="s">
        <v>2260</v>
      </c>
      <c r="F114" s="721">
        <v>60669</v>
      </c>
    </row>
    <row r="115" spans="1:8">
      <c r="A115" s="688"/>
      <c r="B115" s="688"/>
      <c r="C115" s="722"/>
      <c r="D115" s="719" t="s">
        <v>1424</v>
      </c>
      <c r="E115" s="720" t="s">
        <v>2261</v>
      </c>
      <c r="F115" s="721">
        <v>23256</v>
      </c>
    </row>
    <row r="116" spans="1:8">
      <c r="A116" s="688"/>
      <c r="B116" s="688"/>
      <c r="C116" s="722"/>
      <c r="D116" s="719" t="s">
        <v>1259</v>
      </c>
      <c r="E116" s="720" t="s">
        <v>2262</v>
      </c>
      <c r="F116" s="721">
        <v>10872</v>
      </c>
    </row>
    <row r="117" spans="1:8">
      <c r="A117" s="688"/>
      <c r="B117" s="688"/>
      <c r="C117" s="722"/>
      <c r="D117" s="719" t="s">
        <v>1259</v>
      </c>
      <c r="E117" s="720" t="s">
        <v>2263</v>
      </c>
      <c r="F117" s="721">
        <v>10349</v>
      </c>
    </row>
    <row r="118" spans="1:8">
      <c r="A118" s="688"/>
      <c r="B118" s="688"/>
      <c r="C118" s="722"/>
      <c r="D118" s="719" t="s">
        <v>2264</v>
      </c>
      <c r="E118" s="720" t="s">
        <v>2265</v>
      </c>
      <c r="F118" s="721">
        <v>28450</v>
      </c>
    </row>
    <row r="119" spans="1:8" s="1" customFormat="1">
      <c r="A119" s="688"/>
      <c r="B119" s="688"/>
      <c r="C119" s="722"/>
      <c r="D119" s="719" t="s">
        <v>1422</v>
      </c>
      <c r="E119" s="720" t="s">
        <v>2266</v>
      </c>
      <c r="F119" s="721">
        <v>62937</v>
      </c>
    </row>
    <row r="120" spans="1:8" ht="24">
      <c r="A120" s="688"/>
      <c r="B120" s="688"/>
      <c r="C120" s="722"/>
      <c r="D120" s="719" t="s">
        <v>1426</v>
      </c>
      <c r="E120" s="720" t="s">
        <v>2267</v>
      </c>
      <c r="F120" s="721">
        <v>65925</v>
      </c>
    </row>
    <row r="121" spans="1:8" ht="24">
      <c r="A121" s="688"/>
      <c r="B121" s="688"/>
      <c r="C121" s="722"/>
      <c r="D121" s="719" t="s">
        <v>1424</v>
      </c>
      <c r="E121" s="720" t="s">
        <v>2268</v>
      </c>
      <c r="F121" s="721">
        <v>21962</v>
      </c>
    </row>
    <row r="122" spans="1:8">
      <c r="A122" s="688"/>
      <c r="B122" s="688"/>
      <c r="C122" s="722"/>
      <c r="D122" s="719" t="s">
        <v>1427</v>
      </c>
      <c r="E122" s="720" t="s">
        <v>2269</v>
      </c>
      <c r="F122" s="721">
        <v>9731</v>
      </c>
    </row>
    <row r="123" spans="1:8">
      <c r="A123" s="688"/>
      <c r="B123" s="688"/>
      <c r="C123" s="688"/>
      <c r="D123" s="690" t="s">
        <v>1259</v>
      </c>
      <c r="E123" s="726" t="s">
        <v>2270</v>
      </c>
      <c r="F123" s="725">
        <v>6501</v>
      </c>
    </row>
    <row r="124" spans="1:8">
      <c r="A124" s="688"/>
      <c r="B124" s="688"/>
      <c r="C124" s="688"/>
      <c r="D124" s="690" t="s">
        <v>1259</v>
      </c>
      <c r="E124" s="726" t="s">
        <v>2271</v>
      </c>
      <c r="F124" s="727">
        <v>9753</v>
      </c>
    </row>
    <row r="125" spans="1:8" ht="24">
      <c r="A125" s="688"/>
      <c r="B125" s="688"/>
      <c r="C125" s="688"/>
      <c r="D125" s="690" t="s">
        <v>1259</v>
      </c>
      <c r="E125" s="728" t="s">
        <v>2272</v>
      </c>
      <c r="F125" s="727">
        <v>9281</v>
      </c>
    </row>
    <row r="126" spans="1:8">
      <c r="A126" s="688"/>
      <c r="B126" s="688"/>
      <c r="C126" s="690">
        <v>15</v>
      </c>
      <c r="D126" s="690"/>
      <c r="E126" s="720" t="s">
        <v>327</v>
      </c>
      <c r="F126" s="721"/>
    </row>
    <row r="127" spans="1:8">
      <c r="A127" s="688"/>
      <c r="B127" s="688"/>
      <c r="C127" s="688"/>
      <c r="D127" s="690" t="s">
        <v>1427</v>
      </c>
      <c r="E127" s="729" t="s">
        <v>2253</v>
      </c>
      <c r="F127" s="724">
        <v>12674</v>
      </c>
      <c r="H127" s="1"/>
    </row>
    <row r="128" spans="1:8">
      <c r="A128" s="688"/>
      <c r="B128" s="688"/>
      <c r="C128" s="688"/>
      <c r="D128" s="690" t="s">
        <v>1427</v>
      </c>
      <c r="E128" s="729" t="s">
        <v>2251</v>
      </c>
      <c r="F128" s="724">
        <v>18591</v>
      </c>
      <c r="H128" s="1"/>
    </row>
    <row r="129" spans="1:8">
      <c r="A129" s="688"/>
      <c r="B129" s="688"/>
      <c r="C129" s="688"/>
      <c r="D129" s="690" t="s">
        <v>1427</v>
      </c>
      <c r="E129" s="729" t="s">
        <v>2240</v>
      </c>
      <c r="F129" s="724">
        <v>41785</v>
      </c>
      <c r="H129" s="1"/>
    </row>
    <row r="130" spans="1:8">
      <c r="A130" s="688"/>
      <c r="B130" s="688"/>
      <c r="C130" s="688"/>
      <c r="D130" s="690" t="s">
        <v>1427</v>
      </c>
      <c r="E130" s="729" t="s">
        <v>2273</v>
      </c>
      <c r="F130" s="724">
        <v>23231</v>
      </c>
      <c r="H130" s="1"/>
    </row>
    <row r="131" spans="1:8">
      <c r="A131" s="688"/>
      <c r="B131" s="688"/>
      <c r="C131" s="688"/>
      <c r="D131" s="690" t="s">
        <v>1427</v>
      </c>
      <c r="E131" s="723" t="s">
        <v>2239</v>
      </c>
      <c r="F131" s="724">
        <v>50380</v>
      </c>
      <c r="H131" s="1"/>
    </row>
    <row r="132" spans="1:8">
      <c r="A132" s="688"/>
      <c r="B132" s="688"/>
      <c r="C132" s="688"/>
      <c r="D132" s="690" t="s">
        <v>1427</v>
      </c>
      <c r="E132" s="723" t="s">
        <v>2242</v>
      </c>
      <c r="F132" s="724">
        <v>43405</v>
      </c>
      <c r="H132" s="1"/>
    </row>
    <row r="133" spans="1:8">
      <c r="A133" s="688"/>
      <c r="B133" s="688"/>
      <c r="C133" s="688"/>
      <c r="D133" s="690" t="s">
        <v>1427</v>
      </c>
      <c r="E133" s="723" t="s">
        <v>2274</v>
      </c>
      <c r="F133" s="724">
        <v>167378</v>
      </c>
      <c r="H133" s="1"/>
    </row>
    <row r="134" spans="1:8">
      <c r="A134" s="688"/>
      <c r="B134" s="688"/>
      <c r="C134" s="688"/>
      <c r="D134" s="690" t="s">
        <v>1427</v>
      </c>
      <c r="E134" s="723" t="s">
        <v>2244</v>
      </c>
      <c r="F134" s="724">
        <v>79661</v>
      </c>
    </row>
    <row r="135" spans="1:8">
      <c r="A135" s="688"/>
      <c r="B135" s="688"/>
      <c r="C135" s="688"/>
      <c r="D135" s="690" t="s">
        <v>1427</v>
      </c>
      <c r="E135" s="723" t="s">
        <v>2245</v>
      </c>
      <c r="F135" s="724">
        <v>46707</v>
      </c>
    </row>
    <row r="136" spans="1:8">
      <c r="A136" s="688"/>
      <c r="B136" s="688"/>
      <c r="C136" s="688"/>
      <c r="D136" s="690" t="s">
        <v>1427</v>
      </c>
      <c r="E136" s="723" t="s">
        <v>2246</v>
      </c>
      <c r="F136" s="724">
        <v>56846</v>
      </c>
    </row>
    <row r="137" spans="1:8">
      <c r="A137" s="688"/>
      <c r="B137" s="688"/>
      <c r="C137" s="688"/>
      <c r="D137" s="690" t="s">
        <v>1427</v>
      </c>
      <c r="E137" s="723" t="s">
        <v>2275</v>
      </c>
      <c r="F137" s="724">
        <v>35609</v>
      </c>
    </row>
    <row r="138" spans="1:8">
      <c r="A138" s="688"/>
      <c r="B138" s="688"/>
      <c r="C138" s="688"/>
      <c r="D138" s="690" t="s">
        <v>1427</v>
      </c>
      <c r="E138" s="723" t="s">
        <v>2248</v>
      </c>
      <c r="F138" s="724">
        <v>50069</v>
      </c>
    </row>
    <row r="139" spans="1:8">
      <c r="A139" s="688"/>
      <c r="B139" s="688"/>
      <c r="C139" s="688"/>
      <c r="D139" s="690" t="s">
        <v>1427</v>
      </c>
      <c r="E139" s="723" t="s">
        <v>2249</v>
      </c>
      <c r="F139" s="724">
        <v>191478</v>
      </c>
    </row>
    <row r="140" spans="1:8">
      <c r="A140" s="688"/>
      <c r="B140" s="688"/>
      <c r="C140" s="688"/>
      <c r="D140" s="690" t="s">
        <v>1427</v>
      </c>
      <c r="E140" s="723" t="s">
        <v>2276</v>
      </c>
      <c r="F140" s="724">
        <v>27748</v>
      </c>
    </row>
    <row r="141" spans="1:8">
      <c r="A141" s="688"/>
      <c r="B141" s="688"/>
      <c r="C141" s="688"/>
      <c r="D141" s="690" t="s">
        <v>1427</v>
      </c>
      <c r="E141" s="723" t="s">
        <v>2252</v>
      </c>
      <c r="F141" s="724">
        <v>54435</v>
      </c>
    </row>
    <row r="142" spans="1:8">
      <c r="A142" s="688"/>
      <c r="B142" s="688"/>
      <c r="C142" s="688"/>
      <c r="D142" s="690" t="s">
        <v>1427</v>
      </c>
      <c r="E142" s="723" t="s">
        <v>2277</v>
      </c>
      <c r="F142" s="724">
        <v>63478</v>
      </c>
    </row>
    <row r="143" spans="1:8">
      <c r="A143" s="688"/>
      <c r="B143" s="688"/>
      <c r="C143" s="688"/>
      <c r="D143" s="690" t="s">
        <v>1427</v>
      </c>
      <c r="E143" s="723" t="s">
        <v>2241</v>
      </c>
      <c r="F143" s="724">
        <v>19833</v>
      </c>
    </row>
    <row r="144" spans="1:8">
      <c r="A144" s="688"/>
      <c r="B144" s="688"/>
      <c r="C144" s="688"/>
      <c r="D144" s="690" t="s">
        <v>1423</v>
      </c>
      <c r="E144" s="723" t="s">
        <v>2257</v>
      </c>
      <c r="F144" s="724">
        <v>321963</v>
      </c>
    </row>
    <row r="145" spans="1:6">
      <c r="A145" s="688"/>
      <c r="B145" s="688"/>
      <c r="C145" s="688"/>
      <c r="D145" s="690" t="s">
        <v>1423</v>
      </c>
      <c r="E145" s="729" t="s">
        <v>2256</v>
      </c>
      <c r="F145" s="724">
        <v>311186</v>
      </c>
    </row>
    <row r="146" spans="1:6">
      <c r="A146" s="688"/>
      <c r="B146" s="688"/>
      <c r="C146" s="688"/>
      <c r="D146" s="690" t="s">
        <v>1422</v>
      </c>
      <c r="E146" s="729" t="s">
        <v>2258</v>
      </c>
      <c r="F146" s="730">
        <v>329938</v>
      </c>
    </row>
    <row r="147" spans="1:6">
      <c r="A147" s="688"/>
      <c r="B147" s="688"/>
      <c r="C147" s="688"/>
      <c r="D147" s="690" t="s">
        <v>1425</v>
      </c>
      <c r="E147" s="726" t="s">
        <v>2259</v>
      </c>
      <c r="F147" s="727">
        <v>326709</v>
      </c>
    </row>
    <row r="148" spans="1:6">
      <c r="A148" s="688"/>
      <c r="B148" s="688"/>
      <c r="C148" s="688"/>
      <c r="D148" s="690" t="s">
        <v>1426</v>
      </c>
      <c r="E148" s="726" t="s">
        <v>2260</v>
      </c>
      <c r="F148" s="727">
        <v>765068</v>
      </c>
    </row>
    <row r="149" spans="1:6">
      <c r="A149" s="688"/>
      <c r="B149" s="688"/>
      <c r="C149" s="688"/>
      <c r="D149" s="690" t="s">
        <v>1424</v>
      </c>
      <c r="E149" s="726" t="s">
        <v>2261</v>
      </c>
      <c r="F149" s="727">
        <v>182408</v>
      </c>
    </row>
    <row r="150" spans="1:6">
      <c r="A150" s="688"/>
      <c r="B150" s="688"/>
      <c r="C150" s="688"/>
      <c r="D150" s="690" t="s">
        <v>1259</v>
      </c>
      <c r="E150" s="726" t="s">
        <v>2262</v>
      </c>
      <c r="F150" s="727">
        <v>90275</v>
      </c>
    </row>
    <row r="151" spans="1:6">
      <c r="A151" s="688"/>
      <c r="B151" s="688"/>
      <c r="C151" s="688"/>
      <c r="D151" s="690" t="s">
        <v>1259</v>
      </c>
      <c r="E151" s="726" t="s">
        <v>2263</v>
      </c>
      <c r="F151" s="727">
        <v>130159</v>
      </c>
    </row>
    <row r="152" spans="1:6">
      <c r="A152" s="688"/>
      <c r="B152" s="688"/>
      <c r="C152" s="688"/>
      <c r="D152" s="690" t="s">
        <v>1425</v>
      </c>
      <c r="E152" s="726" t="s">
        <v>2265</v>
      </c>
      <c r="F152" s="727">
        <v>291033</v>
      </c>
    </row>
    <row r="153" spans="1:6" s="1" customFormat="1">
      <c r="A153" s="688"/>
      <c r="B153" s="688"/>
      <c r="C153" s="688"/>
      <c r="D153" s="690" t="s">
        <v>1422</v>
      </c>
      <c r="E153" s="726" t="s">
        <v>2266</v>
      </c>
      <c r="F153" s="727">
        <v>617614</v>
      </c>
    </row>
    <row r="154" spans="1:6">
      <c r="A154" s="688"/>
      <c r="B154" s="688"/>
      <c r="C154" s="688"/>
      <c r="D154" s="690" t="s">
        <v>1426</v>
      </c>
      <c r="E154" s="726" t="s">
        <v>2267</v>
      </c>
      <c r="F154" s="727">
        <v>667290</v>
      </c>
    </row>
    <row r="155" spans="1:6" ht="24">
      <c r="A155" s="688"/>
      <c r="B155" s="688"/>
      <c r="C155" s="688"/>
      <c r="D155" s="690" t="s">
        <v>1424</v>
      </c>
      <c r="E155" s="726" t="s">
        <v>2268</v>
      </c>
      <c r="F155" s="727">
        <v>259611</v>
      </c>
    </row>
    <row r="156" spans="1:6">
      <c r="A156" s="688"/>
      <c r="B156" s="688"/>
      <c r="C156" s="688"/>
      <c r="D156" s="690" t="s">
        <v>1259</v>
      </c>
      <c r="E156" s="726" t="s">
        <v>2269</v>
      </c>
      <c r="F156" s="727">
        <v>92403</v>
      </c>
    </row>
    <row r="157" spans="1:6">
      <c r="A157" s="688"/>
      <c r="B157" s="688"/>
      <c r="C157" s="688"/>
      <c r="D157" s="690" t="s">
        <v>1259</v>
      </c>
      <c r="E157" s="726" t="s">
        <v>2270</v>
      </c>
      <c r="F157" s="727">
        <v>123364</v>
      </c>
    </row>
    <row r="158" spans="1:6">
      <c r="A158" s="688"/>
      <c r="B158" s="688"/>
      <c r="C158" s="688"/>
      <c r="D158" s="690" t="s">
        <v>1259</v>
      </c>
      <c r="E158" s="726" t="s">
        <v>2271</v>
      </c>
      <c r="F158" s="727">
        <v>90747</v>
      </c>
    </row>
    <row r="159" spans="1:6" ht="24">
      <c r="A159" s="688"/>
      <c r="B159" s="688"/>
      <c r="C159" s="688"/>
      <c r="D159" s="690" t="s">
        <v>1259</v>
      </c>
      <c r="E159" s="726" t="s">
        <v>2272</v>
      </c>
      <c r="F159" s="727">
        <v>139767</v>
      </c>
    </row>
    <row r="160" spans="1:6" s="687" customFormat="1">
      <c r="A160" s="683" t="s">
        <v>1655</v>
      </c>
      <c r="B160" s="683"/>
      <c r="C160" s="683"/>
      <c r="D160" s="698"/>
      <c r="E160" s="731"/>
      <c r="F160" s="732"/>
    </row>
    <row r="161" spans="1:8">
      <c r="A161" s="688"/>
      <c r="B161" s="688"/>
      <c r="C161" s="688">
        <v>11</v>
      </c>
      <c r="D161" s="690"/>
      <c r="E161" s="733" t="s">
        <v>325</v>
      </c>
      <c r="F161" s="734"/>
    </row>
    <row r="162" spans="1:8">
      <c r="A162" s="688"/>
      <c r="B162" s="688"/>
      <c r="C162" s="688"/>
      <c r="D162" s="690" t="s">
        <v>1427</v>
      </c>
      <c r="E162" s="735" t="s">
        <v>1654</v>
      </c>
      <c r="F162" s="736">
        <v>105710.91130000001</v>
      </c>
    </row>
    <row r="163" spans="1:8" ht="24">
      <c r="A163" s="688"/>
      <c r="B163" s="688"/>
      <c r="C163" s="688"/>
      <c r="D163" s="690" t="s">
        <v>1426</v>
      </c>
      <c r="E163" s="735" t="s">
        <v>1345</v>
      </c>
      <c r="F163" s="737">
        <v>119341.3</v>
      </c>
    </row>
    <row r="164" spans="1:8" ht="24">
      <c r="A164" s="688"/>
      <c r="B164" s="688"/>
      <c r="C164" s="688"/>
      <c r="D164" s="690" t="s">
        <v>1424</v>
      </c>
      <c r="E164" s="735" t="s">
        <v>1346</v>
      </c>
      <c r="F164" s="737">
        <v>9732</v>
      </c>
    </row>
    <row r="165" spans="1:8" ht="24">
      <c r="A165" s="688"/>
      <c r="B165" s="688"/>
      <c r="C165" s="688"/>
      <c r="D165" s="690" t="s">
        <v>1424</v>
      </c>
      <c r="E165" s="735" t="s">
        <v>1347</v>
      </c>
      <c r="F165" s="737">
        <v>10639</v>
      </c>
      <c r="H165" s="1"/>
    </row>
    <row r="166" spans="1:8">
      <c r="A166" s="688"/>
      <c r="B166" s="688"/>
      <c r="C166" s="688"/>
      <c r="D166" s="690" t="s">
        <v>1259</v>
      </c>
      <c r="E166" s="735" t="s">
        <v>1350</v>
      </c>
      <c r="F166" s="737">
        <v>7105.6</v>
      </c>
      <c r="H166" s="1"/>
    </row>
    <row r="167" spans="1:8" ht="24">
      <c r="A167" s="688"/>
      <c r="B167" s="688"/>
      <c r="C167" s="688"/>
      <c r="D167" s="690" t="s">
        <v>1259</v>
      </c>
      <c r="E167" s="735" t="s">
        <v>1349</v>
      </c>
      <c r="F167" s="737">
        <v>13555.5</v>
      </c>
      <c r="H167" s="1"/>
    </row>
    <row r="168" spans="1:8">
      <c r="A168" s="688"/>
      <c r="B168" s="688"/>
      <c r="C168" s="688"/>
      <c r="D168" s="690" t="s">
        <v>1426</v>
      </c>
      <c r="E168" s="735" t="s">
        <v>1351</v>
      </c>
      <c r="F168" s="737">
        <v>1080.8</v>
      </c>
      <c r="H168" s="1"/>
    </row>
    <row r="169" spans="1:8">
      <c r="A169" s="688"/>
      <c r="B169" s="688"/>
      <c r="C169" s="688"/>
      <c r="D169" s="690" t="s">
        <v>1426</v>
      </c>
      <c r="E169" s="735" t="s">
        <v>1352</v>
      </c>
      <c r="F169" s="737">
        <v>1128.2</v>
      </c>
      <c r="H169" s="1"/>
    </row>
    <row r="170" spans="1:8" ht="24">
      <c r="A170" s="688"/>
      <c r="B170" s="688"/>
      <c r="C170" s="688"/>
      <c r="D170" s="690" t="s">
        <v>1259</v>
      </c>
      <c r="E170" s="735" t="s">
        <v>1354</v>
      </c>
      <c r="F170" s="737">
        <v>14283.6</v>
      </c>
      <c r="H170" s="1"/>
    </row>
    <row r="171" spans="1:8" ht="24">
      <c r="A171" s="688"/>
      <c r="B171" s="688"/>
      <c r="C171" s="688"/>
      <c r="D171" s="690" t="s">
        <v>1259</v>
      </c>
      <c r="E171" s="735" t="s">
        <v>1353</v>
      </c>
      <c r="F171" s="737">
        <v>3898.8</v>
      </c>
      <c r="H171" s="1"/>
    </row>
    <row r="172" spans="1:8" ht="24">
      <c r="A172" s="688"/>
      <c r="B172" s="688"/>
      <c r="C172" s="688"/>
      <c r="D172" s="690" t="s">
        <v>1426</v>
      </c>
      <c r="E172" s="735" t="s">
        <v>2278</v>
      </c>
      <c r="F172" s="737">
        <v>6795.4</v>
      </c>
    </row>
    <row r="173" spans="1:8">
      <c r="A173" s="688"/>
      <c r="B173" s="688"/>
      <c r="C173" s="688"/>
      <c r="D173" s="690" t="s">
        <v>1422</v>
      </c>
      <c r="E173" s="735" t="s">
        <v>1356</v>
      </c>
      <c r="F173" s="737">
        <v>37504</v>
      </c>
    </row>
    <row r="174" spans="1:8" ht="24">
      <c r="A174" s="688"/>
      <c r="B174" s="688"/>
      <c r="C174" s="688"/>
      <c r="D174" s="690" t="s">
        <v>1425</v>
      </c>
      <c r="E174" s="735" t="s">
        <v>2279</v>
      </c>
      <c r="F174" s="737">
        <v>36920</v>
      </c>
    </row>
    <row r="175" spans="1:8" ht="24">
      <c r="A175" s="688"/>
      <c r="B175" s="688"/>
      <c r="C175" s="688"/>
      <c r="D175" s="690" t="s">
        <v>1423</v>
      </c>
      <c r="E175" s="735" t="s">
        <v>2280</v>
      </c>
      <c r="F175" s="737">
        <v>7549</v>
      </c>
    </row>
    <row r="176" spans="1:8">
      <c r="A176" s="688"/>
      <c r="B176" s="688"/>
      <c r="C176" s="688">
        <v>15</v>
      </c>
      <c r="D176" s="690"/>
      <c r="E176" s="733" t="s">
        <v>327</v>
      </c>
      <c r="F176" s="734"/>
    </row>
    <row r="177" spans="1:6" ht="24">
      <c r="A177" s="688"/>
      <c r="B177" s="688"/>
      <c r="C177" s="688"/>
      <c r="D177" s="690" t="s">
        <v>1426</v>
      </c>
      <c r="E177" s="735" t="s">
        <v>1345</v>
      </c>
      <c r="F177" s="737">
        <v>978218.33325999998</v>
      </c>
    </row>
    <row r="178" spans="1:6" ht="24">
      <c r="A178" s="688"/>
      <c r="B178" s="688"/>
      <c r="C178" s="688"/>
      <c r="D178" s="690" t="s">
        <v>1424</v>
      </c>
      <c r="E178" s="735" t="s">
        <v>1346</v>
      </c>
      <c r="F178" s="737">
        <v>70091.925000000003</v>
      </c>
    </row>
    <row r="179" spans="1:6" ht="24">
      <c r="A179" s="688"/>
      <c r="B179" s="688"/>
      <c r="C179" s="688"/>
      <c r="D179" s="690" t="s">
        <v>1424</v>
      </c>
      <c r="E179" s="735" t="s">
        <v>1347</v>
      </c>
      <c r="F179" s="737">
        <v>75305.960000000006</v>
      </c>
    </row>
    <row r="180" spans="1:6">
      <c r="A180" s="688"/>
      <c r="B180" s="688"/>
      <c r="C180" s="688"/>
      <c r="D180" s="690" t="s">
        <v>1259</v>
      </c>
      <c r="E180" s="735" t="s">
        <v>1350</v>
      </c>
      <c r="F180" s="738">
        <v>78370.907619999998</v>
      </c>
    </row>
    <row r="181" spans="1:6" ht="24">
      <c r="A181" s="688"/>
      <c r="B181" s="688"/>
      <c r="C181" s="688"/>
      <c r="D181" s="690" t="s">
        <v>1259</v>
      </c>
      <c r="E181" s="735" t="s">
        <v>1349</v>
      </c>
      <c r="F181" s="737">
        <v>125834.14562</v>
      </c>
    </row>
    <row r="182" spans="1:6">
      <c r="A182" s="688"/>
      <c r="B182" s="688"/>
      <c r="C182" s="688"/>
      <c r="D182" s="690" t="s">
        <v>1426</v>
      </c>
      <c r="E182" s="735" t="s">
        <v>1351</v>
      </c>
      <c r="F182" s="737">
        <v>21036.224819999999</v>
      </c>
    </row>
    <row r="183" spans="1:6">
      <c r="A183" s="688"/>
      <c r="B183" s="688"/>
      <c r="C183" s="688"/>
      <c r="D183" s="690" t="s">
        <v>1426</v>
      </c>
      <c r="E183" s="735" t="s">
        <v>1352</v>
      </c>
      <c r="F183" s="737">
        <v>20125.400000000001</v>
      </c>
    </row>
    <row r="184" spans="1:6" ht="24">
      <c r="A184" s="688"/>
      <c r="B184" s="688"/>
      <c r="C184" s="688"/>
      <c r="D184" s="690" t="s">
        <v>1426</v>
      </c>
      <c r="E184" s="735" t="s">
        <v>1354</v>
      </c>
      <c r="F184" s="737">
        <v>116970.26316</v>
      </c>
    </row>
    <row r="185" spans="1:6" ht="24">
      <c r="A185" s="688"/>
      <c r="B185" s="688"/>
      <c r="C185" s="688"/>
      <c r="D185" s="690" t="s">
        <v>1259</v>
      </c>
      <c r="E185" s="735" t="s">
        <v>1353</v>
      </c>
      <c r="F185" s="737">
        <v>30830.935649999999</v>
      </c>
    </row>
    <row r="186" spans="1:6" ht="24">
      <c r="A186" s="688"/>
      <c r="B186" s="688"/>
      <c r="C186" s="688"/>
      <c r="D186" s="690" t="s">
        <v>1426</v>
      </c>
      <c r="E186" s="735" t="s">
        <v>2278</v>
      </c>
      <c r="F186" s="737">
        <v>75942.513479999994</v>
      </c>
    </row>
    <row r="187" spans="1:6">
      <c r="A187" s="688"/>
      <c r="B187" s="688"/>
      <c r="C187" s="688"/>
      <c r="D187" s="690" t="s">
        <v>1422</v>
      </c>
      <c r="E187" s="735" t="s">
        <v>1356</v>
      </c>
      <c r="F187" s="737">
        <v>275750.32913999999</v>
      </c>
    </row>
    <row r="188" spans="1:6" ht="24">
      <c r="A188" s="688"/>
      <c r="B188" s="688"/>
      <c r="C188" s="688"/>
      <c r="D188" s="690" t="s">
        <v>1425</v>
      </c>
      <c r="E188" s="735" t="s">
        <v>2279</v>
      </c>
      <c r="F188" s="737">
        <v>440500.49599999998</v>
      </c>
    </row>
    <row r="189" spans="1:6" ht="24">
      <c r="A189" s="688"/>
      <c r="B189" s="688"/>
      <c r="C189" s="688"/>
      <c r="D189" s="690" t="s">
        <v>1427</v>
      </c>
      <c r="E189" s="735" t="s">
        <v>1360</v>
      </c>
      <c r="F189" s="737">
        <v>23911.347000000002</v>
      </c>
    </row>
    <row r="190" spans="1:6" ht="24">
      <c r="A190" s="688"/>
      <c r="B190" s="688"/>
      <c r="C190" s="688"/>
      <c r="D190" s="690" t="s">
        <v>1427</v>
      </c>
      <c r="E190" s="735" t="s">
        <v>1359</v>
      </c>
      <c r="F190" s="737">
        <v>25134.2232</v>
      </c>
    </row>
    <row r="191" spans="1:6" ht="24">
      <c r="A191" s="688"/>
      <c r="B191" s="688"/>
      <c r="C191" s="688"/>
      <c r="D191" s="690" t="s">
        <v>1427</v>
      </c>
      <c r="E191" s="735" t="s">
        <v>1364</v>
      </c>
      <c r="F191" s="737">
        <v>36839.799800000001</v>
      </c>
    </row>
    <row r="192" spans="1:6" ht="24">
      <c r="A192" s="688"/>
      <c r="B192" s="688"/>
      <c r="C192" s="688"/>
      <c r="D192" s="690" t="s">
        <v>1427</v>
      </c>
      <c r="E192" s="735" t="s">
        <v>1365</v>
      </c>
      <c r="F192" s="737">
        <v>78198.016000000003</v>
      </c>
    </row>
    <row r="193" spans="1:8" ht="24">
      <c r="A193" s="688"/>
      <c r="B193" s="688"/>
      <c r="C193" s="688"/>
      <c r="D193" s="690" t="s">
        <v>1427</v>
      </c>
      <c r="E193" s="735" t="s">
        <v>1363</v>
      </c>
      <c r="F193" s="737">
        <v>32234.023000000001</v>
      </c>
    </row>
    <row r="194" spans="1:8" ht="24">
      <c r="A194" s="688"/>
      <c r="B194" s="688"/>
      <c r="C194" s="688"/>
      <c r="D194" s="690" t="s">
        <v>1427</v>
      </c>
      <c r="E194" s="735" t="s">
        <v>1362</v>
      </c>
      <c r="F194" s="737">
        <v>27269.295999999998</v>
      </c>
    </row>
    <row r="195" spans="1:8" ht="24">
      <c r="A195" s="688"/>
      <c r="B195" s="688"/>
      <c r="C195" s="688"/>
      <c r="D195" s="690" t="s">
        <v>1427</v>
      </c>
      <c r="E195" s="735" t="s">
        <v>1361</v>
      </c>
      <c r="F195" s="737">
        <v>24700.743999999999</v>
      </c>
    </row>
    <row r="196" spans="1:8" ht="24">
      <c r="A196" s="688"/>
      <c r="B196" s="688"/>
      <c r="C196" s="688"/>
      <c r="D196" s="690" t="s">
        <v>1427</v>
      </c>
      <c r="E196" s="735" t="s">
        <v>1358</v>
      </c>
      <c r="F196" s="737">
        <v>39481</v>
      </c>
    </row>
    <row r="197" spans="1:8">
      <c r="A197" s="688"/>
      <c r="B197" s="688"/>
      <c r="C197" s="688"/>
      <c r="D197" s="690" t="s">
        <v>1427</v>
      </c>
      <c r="E197" s="735" t="s">
        <v>1366</v>
      </c>
      <c r="F197" s="737">
        <v>53958.985999999997</v>
      </c>
      <c r="H197" s="1"/>
    </row>
    <row r="198" spans="1:8" ht="24">
      <c r="A198" s="688"/>
      <c r="B198" s="688"/>
      <c r="C198" s="688"/>
      <c r="D198" s="690" t="s">
        <v>1427</v>
      </c>
      <c r="E198" s="735" t="s">
        <v>2280</v>
      </c>
      <c r="F198" s="737">
        <v>240730.13125000001</v>
      </c>
      <c r="H198" s="1"/>
    </row>
    <row r="199" spans="1:8">
      <c r="A199" s="688"/>
      <c r="B199" s="688"/>
      <c r="C199" s="688"/>
      <c r="D199" s="690" t="s">
        <v>1427</v>
      </c>
      <c r="E199" s="705" t="s">
        <v>2281</v>
      </c>
      <c r="F199" s="737">
        <v>3784</v>
      </c>
      <c r="H199" s="1"/>
    </row>
    <row r="200" spans="1:8">
      <c r="A200" s="688"/>
      <c r="B200" s="688"/>
      <c r="C200" s="688"/>
      <c r="D200" s="690" t="s">
        <v>1427</v>
      </c>
      <c r="E200" s="705" t="s">
        <v>2282</v>
      </c>
      <c r="F200" s="737">
        <v>3618</v>
      </c>
      <c r="H200" s="1"/>
    </row>
    <row r="201" spans="1:8">
      <c r="A201" s="688"/>
      <c r="B201" s="688"/>
      <c r="C201" s="688"/>
      <c r="D201" s="690" t="s">
        <v>1427</v>
      </c>
      <c r="E201" s="705" t="s">
        <v>2283</v>
      </c>
      <c r="F201" s="737">
        <v>1914</v>
      </c>
      <c r="H201" s="1"/>
    </row>
    <row r="202" spans="1:8">
      <c r="A202" s="688"/>
      <c r="B202" s="688"/>
      <c r="C202" s="688"/>
      <c r="D202" s="690" t="s">
        <v>1427</v>
      </c>
      <c r="E202" s="705" t="s">
        <v>2284</v>
      </c>
      <c r="F202" s="737">
        <v>3560</v>
      </c>
      <c r="H202" s="1"/>
    </row>
    <row r="203" spans="1:8">
      <c r="A203" s="688"/>
      <c r="B203" s="688"/>
      <c r="C203" s="688"/>
      <c r="D203" s="690" t="s">
        <v>1427</v>
      </c>
      <c r="E203" s="705" t="s">
        <v>2285</v>
      </c>
      <c r="F203" s="737">
        <v>1822</v>
      </c>
      <c r="H203" s="1"/>
    </row>
    <row r="204" spans="1:8">
      <c r="A204" s="688"/>
      <c r="B204" s="688"/>
      <c r="C204" s="688"/>
      <c r="D204" s="690" t="s">
        <v>1427</v>
      </c>
      <c r="E204" s="705" t="s">
        <v>2286</v>
      </c>
      <c r="F204" s="737">
        <v>2095</v>
      </c>
    </row>
    <row r="205" spans="1:8" s="1" customFormat="1">
      <c r="A205" s="688"/>
      <c r="B205" s="688"/>
      <c r="C205" s="688"/>
      <c r="D205" s="690" t="s">
        <v>1427</v>
      </c>
      <c r="E205" s="705" t="s">
        <v>2287</v>
      </c>
      <c r="F205" s="737">
        <v>2099</v>
      </c>
    </row>
    <row r="206" spans="1:8" s="687" customFormat="1" ht="14.25">
      <c r="A206" s="683" t="s">
        <v>1392</v>
      </c>
      <c r="B206" s="683"/>
      <c r="C206" s="683"/>
      <c r="D206" s="739"/>
      <c r="E206" s="740"/>
      <c r="F206" s="741"/>
      <c r="G206" s="742"/>
      <c r="H206" s="743"/>
    </row>
    <row r="207" spans="1:8" ht="14.25">
      <c r="A207" s="688"/>
      <c r="B207" s="688"/>
      <c r="C207" s="688">
        <v>11</v>
      </c>
      <c r="D207" s="744" t="s">
        <v>1427</v>
      </c>
      <c r="E207" s="745" t="s">
        <v>1279</v>
      </c>
      <c r="F207" s="746">
        <v>17984</v>
      </c>
      <c r="G207" s="307"/>
      <c r="H207" s="308"/>
    </row>
    <row r="208" spans="1:8" s="1" customFormat="1" ht="14.25">
      <c r="A208" s="688"/>
      <c r="B208" s="688"/>
      <c r="C208" s="688"/>
      <c r="D208" s="744" t="s">
        <v>1427</v>
      </c>
      <c r="E208" s="745" t="s">
        <v>1280</v>
      </c>
      <c r="F208" s="746">
        <v>3940</v>
      </c>
      <c r="G208" s="747"/>
      <c r="H208" s="748"/>
    </row>
    <row r="209" spans="1:8" ht="14.25" customHeight="1">
      <c r="A209" s="688"/>
      <c r="B209" s="688"/>
      <c r="C209" s="688"/>
      <c r="D209" s="744" t="s">
        <v>1423</v>
      </c>
      <c r="E209" s="745" t="s">
        <v>1281</v>
      </c>
      <c r="F209" s="746">
        <v>67234</v>
      </c>
      <c r="G209" s="307"/>
      <c r="H209" s="308"/>
    </row>
    <row r="210" spans="1:8" ht="14.25" customHeight="1">
      <c r="A210" s="688"/>
      <c r="B210" s="688"/>
      <c r="C210" s="688"/>
      <c r="D210" s="744" t="s">
        <v>1422</v>
      </c>
      <c r="E210" s="745" t="s">
        <v>1282</v>
      </c>
      <c r="F210" s="746">
        <f>79351+3300</f>
        <v>82651</v>
      </c>
      <c r="G210" s="307"/>
      <c r="H210" s="308"/>
    </row>
    <row r="211" spans="1:8" ht="14.25" customHeight="1">
      <c r="A211" s="688"/>
      <c r="B211" s="688"/>
      <c r="C211" s="688"/>
      <c r="D211" s="744" t="s">
        <v>1422</v>
      </c>
      <c r="E211" s="745" t="s">
        <v>1283</v>
      </c>
      <c r="F211" s="746">
        <v>28343</v>
      </c>
      <c r="G211" s="307"/>
      <c r="H211" s="308"/>
    </row>
    <row r="212" spans="1:8" ht="14.25" customHeight="1">
      <c r="A212" s="688"/>
      <c r="B212" s="688"/>
      <c r="C212" s="688"/>
      <c r="D212" s="744" t="s">
        <v>1422</v>
      </c>
      <c r="E212" s="745" t="s">
        <v>1284</v>
      </c>
      <c r="F212" s="746">
        <v>54158</v>
      </c>
      <c r="G212" s="307"/>
      <c r="H212" s="308"/>
    </row>
    <row r="213" spans="1:8" ht="14.25" customHeight="1">
      <c r="A213" s="688"/>
      <c r="B213" s="688"/>
      <c r="C213" s="688"/>
      <c r="D213" s="744" t="s">
        <v>1259</v>
      </c>
      <c r="E213" s="745" t="s">
        <v>1285</v>
      </c>
      <c r="F213" s="746">
        <v>50503</v>
      </c>
      <c r="G213" s="307"/>
      <c r="H213" s="308"/>
    </row>
    <row r="214" spans="1:8" ht="14.25" customHeight="1">
      <c r="A214" s="688"/>
      <c r="B214" s="688"/>
      <c r="C214" s="688"/>
      <c r="D214" s="744" t="s">
        <v>1426</v>
      </c>
      <c r="E214" s="745" t="s">
        <v>1286</v>
      </c>
      <c r="F214" s="746">
        <v>88908</v>
      </c>
      <c r="G214" s="307"/>
      <c r="H214" s="308"/>
    </row>
    <row r="215" spans="1:8" ht="14.25" customHeight="1">
      <c r="A215" s="688"/>
      <c r="B215" s="688"/>
      <c r="C215" s="688"/>
      <c r="D215" s="744" t="s">
        <v>1259</v>
      </c>
      <c r="E215" s="745" t="s">
        <v>2288</v>
      </c>
      <c r="F215" s="746">
        <v>43240</v>
      </c>
      <c r="G215" s="307"/>
      <c r="H215" s="308"/>
    </row>
    <row r="216" spans="1:8" ht="14.25" customHeight="1">
      <c r="A216" s="688"/>
      <c r="B216" s="688"/>
      <c r="C216" s="688"/>
      <c r="D216" s="744" t="s">
        <v>1424</v>
      </c>
      <c r="E216" s="745" t="s">
        <v>1287</v>
      </c>
      <c r="F216" s="746">
        <v>5677.2330000000002</v>
      </c>
      <c r="G216" s="307"/>
      <c r="H216" s="308"/>
    </row>
    <row r="217" spans="1:8" ht="36">
      <c r="A217" s="688"/>
      <c r="B217" s="688"/>
      <c r="C217" s="688"/>
      <c r="D217" s="744" t="s">
        <v>1424</v>
      </c>
      <c r="E217" s="745" t="s">
        <v>1288</v>
      </c>
      <c r="F217" s="746">
        <v>11217.071</v>
      </c>
      <c r="G217" s="307"/>
      <c r="H217" s="308"/>
    </row>
    <row r="218" spans="1:8" ht="14.25" customHeight="1">
      <c r="A218" s="688"/>
      <c r="B218" s="688"/>
      <c r="C218" s="688"/>
      <c r="D218" s="744" t="s">
        <v>1424</v>
      </c>
      <c r="E218" s="745" t="s">
        <v>1289</v>
      </c>
      <c r="F218" s="746">
        <v>5594.5029999999997</v>
      </c>
      <c r="G218" s="307"/>
      <c r="H218" s="308"/>
    </row>
    <row r="219" spans="1:8" ht="14.25" customHeight="1">
      <c r="A219" s="688"/>
      <c r="B219" s="688"/>
      <c r="C219" s="688"/>
      <c r="D219" s="744" t="s">
        <v>1259</v>
      </c>
      <c r="E219" s="745" t="s">
        <v>1291</v>
      </c>
      <c r="F219" s="746">
        <v>11126</v>
      </c>
      <c r="G219" s="307"/>
      <c r="H219" s="308"/>
    </row>
    <row r="220" spans="1:8" ht="14.25" customHeight="1">
      <c r="A220" s="688"/>
      <c r="B220" s="688"/>
      <c r="C220" s="688"/>
      <c r="D220" s="744" t="s">
        <v>1422</v>
      </c>
      <c r="E220" s="745" t="s">
        <v>1292</v>
      </c>
      <c r="F220" s="746">
        <v>17593</v>
      </c>
      <c r="G220" s="307"/>
      <c r="H220" s="308"/>
    </row>
    <row r="221" spans="1:8" ht="26.25" customHeight="1">
      <c r="A221" s="688"/>
      <c r="B221" s="688"/>
      <c r="C221" s="688"/>
      <c r="D221" s="744" t="s">
        <v>1426</v>
      </c>
      <c r="E221" s="745" t="s">
        <v>1293</v>
      </c>
      <c r="F221" s="746">
        <v>6652.2569999999996</v>
      </c>
      <c r="G221" s="307"/>
      <c r="H221" s="308"/>
    </row>
    <row r="222" spans="1:8" ht="27.75" customHeight="1">
      <c r="A222" s="688"/>
      <c r="B222" s="688"/>
      <c r="C222" s="688"/>
      <c r="D222" s="744" t="s">
        <v>1427</v>
      </c>
      <c r="E222" s="745" t="s">
        <v>1294</v>
      </c>
      <c r="F222" s="746">
        <v>12745</v>
      </c>
      <c r="G222" s="307"/>
      <c r="H222" s="308"/>
    </row>
    <row r="223" spans="1:8" ht="28.5" customHeight="1">
      <c r="A223" s="688"/>
      <c r="B223" s="688"/>
      <c r="C223" s="688"/>
      <c r="D223" s="744" t="s">
        <v>1427</v>
      </c>
      <c r="E223" s="745" t="s">
        <v>1295</v>
      </c>
      <c r="F223" s="746">
        <v>2126</v>
      </c>
      <c r="G223" s="307"/>
      <c r="H223" s="308"/>
    </row>
    <row r="224" spans="1:8" ht="14.25" customHeight="1">
      <c r="A224" s="688"/>
      <c r="B224" s="688"/>
      <c r="C224" s="688"/>
      <c r="D224" s="744" t="s">
        <v>1422</v>
      </c>
      <c r="E224" s="745" t="s">
        <v>1296</v>
      </c>
      <c r="F224" s="746">
        <v>20685</v>
      </c>
      <c r="G224" s="307"/>
      <c r="H224" s="308"/>
    </row>
    <row r="225" spans="1:8" ht="14.25" customHeight="1">
      <c r="A225" s="688"/>
      <c r="B225" s="688"/>
      <c r="C225" s="688"/>
      <c r="D225" s="744" t="s">
        <v>1426</v>
      </c>
      <c r="E225" s="745" t="s">
        <v>1297</v>
      </c>
      <c r="F225" s="746">
        <v>12132.267</v>
      </c>
      <c r="G225" s="307"/>
      <c r="H225" s="308"/>
    </row>
    <row r="226" spans="1:8" ht="14.25" customHeight="1">
      <c r="A226" s="688"/>
      <c r="B226" s="688"/>
      <c r="C226" s="688"/>
      <c r="D226" s="744" t="s">
        <v>1259</v>
      </c>
      <c r="E226" s="745" t="s">
        <v>1298</v>
      </c>
      <c r="F226" s="746">
        <v>7701.9539999999997</v>
      </c>
      <c r="G226" s="307"/>
      <c r="H226" s="308"/>
    </row>
    <row r="227" spans="1:8" ht="48">
      <c r="A227" s="688"/>
      <c r="B227" s="688"/>
      <c r="C227" s="688"/>
      <c r="D227" s="744" t="s">
        <v>1259</v>
      </c>
      <c r="E227" s="745" t="s">
        <v>1299</v>
      </c>
      <c r="F227" s="746">
        <v>22268.65</v>
      </c>
      <c r="G227" s="307"/>
      <c r="H227" s="308"/>
    </row>
    <row r="228" spans="1:8" ht="14.25">
      <c r="A228" s="688"/>
      <c r="B228" s="688"/>
      <c r="C228" s="688"/>
      <c r="D228" s="744" t="s">
        <v>1423</v>
      </c>
      <c r="E228" s="745" t="s">
        <v>1300</v>
      </c>
      <c r="F228" s="746">
        <v>37473</v>
      </c>
      <c r="G228" s="307"/>
      <c r="H228" s="308"/>
    </row>
    <row r="229" spans="1:8" s="1" customFormat="1" ht="14.25" customHeight="1">
      <c r="A229" s="688"/>
      <c r="B229" s="688"/>
      <c r="C229" s="688"/>
      <c r="D229" s="744" t="s">
        <v>1427</v>
      </c>
      <c r="E229" s="745" t="s">
        <v>1301</v>
      </c>
      <c r="F229" s="746">
        <v>13646</v>
      </c>
      <c r="G229" s="747"/>
      <c r="H229" s="748"/>
    </row>
    <row r="230" spans="1:8" ht="14.25" customHeight="1">
      <c r="A230" s="688"/>
      <c r="B230" s="688"/>
      <c r="C230" s="688"/>
      <c r="D230" s="744" t="s">
        <v>1425</v>
      </c>
      <c r="E230" s="745" t="s">
        <v>1302</v>
      </c>
      <c r="F230" s="746">
        <v>41643</v>
      </c>
      <c r="G230" s="307"/>
      <c r="H230" s="308"/>
    </row>
    <row r="231" spans="1:8" ht="14.25" customHeight="1">
      <c r="A231" s="688"/>
      <c r="B231" s="688"/>
      <c r="C231" s="688"/>
      <c r="D231" s="744" t="s">
        <v>1422</v>
      </c>
      <c r="E231" s="745" t="s">
        <v>1303</v>
      </c>
      <c r="F231" s="746">
        <v>65458</v>
      </c>
      <c r="G231" s="307"/>
      <c r="H231" s="308"/>
    </row>
    <row r="232" spans="1:8" ht="14.25" customHeight="1">
      <c r="A232" s="688"/>
      <c r="B232" s="688"/>
      <c r="C232" s="688"/>
      <c r="D232" s="744"/>
      <c r="E232" s="745"/>
      <c r="F232" s="746"/>
      <c r="G232" s="307"/>
      <c r="H232" s="308"/>
    </row>
    <row r="233" spans="1:8" ht="14.25" customHeight="1">
      <c r="A233" s="688"/>
      <c r="B233" s="688"/>
      <c r="C233" s="688">
        <v>15</v>
      </c>
      <c r="D233" s="744" t="s">
        <v>1427</v>
      </c>
      <c r="E233" s="745" t="s">
        <v>1279</v>
      </c>
      <c r="F233" s="746">
        <v>165893.266</v>
      </c>
      <c r="G233" s="307"/>
      <c r="H233" s="308"/>
    </row>
    <row r="234" spans="1:8" ht="14.25">
      <c r="A234" s="688"/>
      <c r="B234" s="688"/>
      <c r="C234" s="688"/>
      <c r="D234" s="744" t="s">
        <v>1427</v>
      </c>
      <c r="E234" s="745" t="s">
        <v>1306</v>
      </c>
      <c r="F234" s="746">
        <v>49280</v>
      </c>
      <c r="G234" s="307"/>
      <c r="H234" s="308"/>
    </row>
    <row r="235" spans="1:8" ht="14.25">
      <c r="A235" s="688"/>
      <c r="B235" s="688"/>
      <c r="C235" s="688"/>
      <c r="D235" s="744" t="s">
        <v>1423</v>
      </c>
      <c r="E235" s="745" t="s">
        <v>2289</v>
      </c>
      <c r="F235" s="746">
        <v>386985.20299999998</v>
      </c>
      <c r="G235" s="307"/>
      <c r="H235" s="308"/>
    </row>
    <row r="236" spans="1:8" ht="27" customHeight="1">
      <c r="A236" s="688"/>
      <c r="B236" s="688"/>
      <c r="C236" s="688"/>
      <c r="D236" s="744" t="s">
        <v>1422</v>
      </c>
      <c r="E236" s="745" t="s">
        <v>2290</v>
      </c>
      <c r="F236" s="746">
        <v>455946.75900000002</v>
      </c>
      <c r="G236" s="307"/>
      <c r="H236" s="308"/>
    </row>
    <row r="237" spans="1:8" ht="14.25" customHeight="1">
      <c r="A237" s="688"/>
      <c r="B237" s="688"/>
      <c r="C237" s="688"/>
      <c r="D237" s="744" t="s">
        <v>1422</v>
      </c>
      <c r="E237" s="745" t="s">
        <v>2291</v>
      </c>
      <c r="F237" s="746">
        <v>293889.54100000003</v>
      </c>
      <c r="G237" s="307"/>
      <c r="H237" s="308"/>
    </row>
    <row r="238" spans="1:8" ht="14.25" customHeight="1">
      <c r="A238" s="688"/>
      <c r="B238" s="688"/>
      <c r="C238" s="688"/>
      <c r="D238" s="744" t="s">
        <v>1422</v>
      </c>
      <c r="E238" s="745" t="s">
        <v>2292</v>
      </c>
      <c r="F238" s="746">
        <v>385199.25099999999</v>
      </c>
      <c r="G238" s="307"/>
      <c r="H238" s="308"/>
    </row>
    <row r="239" spans="1:8" ht="23.25" customHeight="1">
      <c r="A239" s="688"/>
      <c r="B239" s="688"/>
      <c r="C239" s="688"/>
      <c r="D239" s="744" t="s">
        <v>1426</v>
      </c>
      <c r="E239" s="745" t="s">
        <v>2293</v>
      </c>
      <c r="F239" s="746">
        <v>954745.00199999998</v>
      </c>
      <c r="G239" s="307"/>
      <c r="H239" s="308"/>
    </row>
    <row r="240" spans="1:8" ht="14.25" customHeight="1">
      <c r="A240" s="688"/>
      <c r="B240" s="688"/>
      <c r="C240" s="688"/>
      <c r="D240" s="744" t="s">
        <v>1426</v>
      </c>
      <c r="E240" s="745" t="s">
        <v>2294</v>
      </c>
      <c r="F240" s="746">
        <v>916044.2</v>
      </c>
      <c r="G240" s="307"/>
      <c r="H240" s="308"/>
    </row>
    <row r="241" spans="1:8" ht="14.25" customHeight="1">
      <c r="A241" s="688"/>
      <c r="B241" s="688"/>
      <c r="C241" s="688"/>
      <c r="D241" s="744" t="s">
        <v>1259</v>
      </c>
      <c r="E241" s="745" t="s">
        <v>2295</v>
      </c>
      <c r="F241" s="746">
        <f>304322.263-1055</f>
        <v>303267.26299999998</v>
      </c>
      <c r="G241" s="307"/>
      <c r="H241" s="308"/>
    </row>
    <row r="242" spans="1:8" ht="28.5" customHeight="1">
      <c r="A242" s="688"/>
      <c r="B242" s="688"/>
      <c r="C242" s="688"/>
      <c r="D242" s="744" t="s">
        <v>1424</v>
      </c>
      <c r="E242" s="745" t="s">
        <v>2296</v>
      </c>
      <c r="F242" s="746">
        <v>73168.231</v>
      </c>
      <c r="G242" s="307"/>
      <c r="H242" s="308"/>
    </row>
    <row r="243" spans="1:8" ht="14.25" customHeight="1">
      <c r="A243" s="688"/>
      <c r="B243" s="688"/>
      <c r="C243" s="688"/>
      <c r="D243" s="744" t="s">
        <v>1424</v>
      </c>
      <c r="E243" s="745" t="s">
        <v>1289</v>
      </c>
      <c r="F243" s="746">
        <v>54464.961000000003</v>
      </c>
      <c r="G243" s="307"/>
      <c r="H243" s="308"/>
    </row>
    <row r="244" spans="1:8" ht="22.5" customHeight="1">
      <c r="A244" s="688"/>
      <c r="B244" s="688"/>
      <c r="C244" s="688"/>
      <c r="D244" s="744" t="s">
        <v>1427</v>
      </c>
      <c r="E244" s="745" t="s">
        <v>1290</v>
      </c>
      <c r="F244" s="746">
        <v>146518.65100000001</v>
      </c>
      <c r="G244" s="307"/>
      <c r="H244" s="308"/>
    </row>
    <row r="245" spans="1:8" ht="14.25">
      <c r="A245" s="688"/>
      <c r="B245" s="688"/>
      <c r="C245" s="688"/>
      <c r="D245" s="744" t="s">
        <v>1427</v>
      </c>
      <c r="E245" s="745" t="s">
        <v>1291</v>
      </c>
      <c r="F245" s="746">
        <v>76872.801999999996</v>
      </c>
      <c r="G245" s="307"/>
      <c r="H245" s="308"/>
    </row>
    <row r="246" spans="1:8" ht="14.25" customHeight="1">
      <c r="A246" s="688"/>
      <c r="B246" s="688"/>
      <c r="C246" s="688"/>
      <c r="D246" s="744" t="s">
        <v>1422</v>
      </c>
      <c r="E246" s="745" t="s">
        <v>1292</v>
      </c>
      <c r="F246" s="746">
        <v>127288.007</v>
      </c>
      <c r="G246" s="307"/>
      <c r="H246" s="308"/>
    </row>
    <row r="247" spans="1:8" ht="14.25" customHeight="1">
      <c r="A247" s="688"/>
      <c r="B247" s="688"/>
      <c r="C247" s="688"/>
      <c r="D247" s="744" t="s">
        <v>1426</v>
      </c>
      <c r="E247" s="745" t="s">
        <v>1293</v>
      </c>
      <c r="F247" s="746">
        <v>100987.645</v>
      </c>
      <c r="G247" s="307"/>
      <c r="H247" s="308"/>
    </row>
    <row r="248" spans="1:8" ht="29.25" customHeight="1">
      <c r="A248" s="688"/>
      <c r="B248" s="688"/>
      <c r="C248" s="688"/>
      <c r="D248" s="744" t="s">
        <v>1427</v>
      </c>
      <c r="E248" s="745" t="s">
        <v>1294</v>
      </c>
      <c r="F248" s="746">
        <v>151519.19200000001</v>
      </c>
      <c r="G248" s="307"/>
      <c r="H248" s="308"/>
    </row>
    <row r="249" spans="1:8" ht="26.25" customHeight="1">
      <c r="A249" s="688"/>
      <c r="B249" s="688"/>
      <c r="C249" s="688"/>
      <c r="D249" s="744" t="s">
        <v>1427</v>
      </c>
      <c r="E249" s="749" t="s">
        <v>1295</v>
      </c>
      <c r="F249" s="746">
        <v>13605.441000000001</v>
      </c>
      <c r="G249" s="307"/>
      <c r="H249" s="308"/>
    </row>
    <row r="250" spans="1:8" ht="31.5" customHeight="1">
      <c r="A250" s="688"/>
      <c r="B250" s="688"/>
      <c r="C250" s="688"/>
      <c r="D250" s="744" t="s">
        <v>1422</v>
      </c>
      <c r="E250" s="749" t="s">
        <v>1296</v>
      </c>
      <c r="F250" s="746">
        <v>110129.376</v>
      </c>
      <c r="G250" s="307"/>
      <c r="H250" s="308"/>
    </row>
    <row r="251" spans="1:8" ht="20.25" customHeight="1">
      <c r="A251" s="688"/>
      <c r="B251" s="688"/>
      <c r="C251" s="688"/>
      <c r="D251" s="744" t="s">
        <v>1426</v>
      </c>
      <c r="E251" s="749" t="s">
        <v>1297</v>
      </c>
      <c r="F251" s="746">
        <v>61698.853999999999</v>
      </c>
      <c r="G251" s="307"/>
      <c r="H251" s="308"/>
    </row>
    <row r="252" spans="1:8" ht="27" customHeight="1">
      <c r="A252" s="688"/>
      <c r="B252" s="688"/>
      <c r="C252" s="688"/>
      <c r="D252" s="744" t="s">
        <v>1427</v>
      </c>
      <c r="E252" s="749" t="s">
        <v>2297</v>
      </c>
      <c r="F252" s="746">
        <v>13026.724</v>
      </c>
      <c r="G252" s="307"/>
      <c r="H252" s="308"/>
    </row>
    <row r="253" spans="1:8" ht="31.5" customHeight="1">
      <c r="A253" s="688"/>
      <c r="B253" s="688"/>
      <c r="C253" s="688"/>
      <c r="D253" s="744" t="s">
        <v>1427</v>
      </c>
      <c r="E253" s="749" t="s">
        <v>2298</v>
      </c>
      <c r="F253" s="746">
        <v>16726.998</v>
      </c>
      <c r="G253" s="307"/>
      <c r="H253" s="308"/>
    </row>
    <row r="254" spans="1:8" ht="30" customHeight="1">
      <c r="A254" s="688"/>
      <c r="B254" s="688"/>
      <c r="C254" s="688"/>
      <c r="D254" s="744" t="s">
        <v>1427</v>
      </c>
      <c r="E254" s="749" t="s">
        <v>2299</v>
      </c>
      <c r="F254" s="746">
        <v>2811.6170000000002</v>
      </c>
      <c r="G254" s="307"/>
      <c r="H254" s="308"/>
    </row>
    <row r="255" spans="1:8" ht="36" customHeight="1">
      <c r="A255" s="688"/>
      <c r="B255" s="688"/>
      <c r="C255" s="688"/>
      <c r="D255" s="744" t="s">
        <v>1259</v>
      </c>
      <c r="E255" s="749" t="s">
        <v>1298</v>
      </c>
      <c r="F255" s="746">
        <v>44475.527000000002</v>
      </c>
      <c r="G255" s="307"/>
      <c r="H255" s="308"/>
    </row>
    <row r="256" spans="1:8" ht="29.25" customHeight="1">
      <c r="A256" s="688"/>
      <c r="B256" s="688"/>
      <c r="C256" s="688"/>
      <c r="D256" s="744" t="s">
        <v>1427</v>
      </c>
      <c r="E256" s="749" t="s">
        <v>2300</v>
      </c>
      <c r="F256" s="746">
        <v>3943.1619999999998</v>
      </c>
      <c r="G256" s="307"/>
      <c r="H256" s="308"/>
    </row>
    <row r="257" spans="1:8" ht="30" customHeight="1">
      <c r="A257" s="688"/>
      <c r="B257" s="688"/>
      <c r="C257" s="688"/>
      <c r="D257" s="744" t="s">
        <v>1427</v>
      </c>
      <c r="E257" s="749" t="s">
        <v>2301</v>
      </c>
      <c r="F257" s="746">
        <v>3509.5949999999998</v>
      </c>
      <c r="G257" s="307"/>
      <c r="H257" s="308"/>
    </row>
    <row r="258" spans="1:8" ht="35.25" customHeight="1">
      <c r="A258" s="688"/>
      <c r="B258" s="688"/>
      <c r="C258" s="688"/>
      <c r="D258" s="744" t="s">
        <v>1259</v>
      </c>
      <c r="E258" s="749" t="s">
        <v>1299</v>
      </c>
      <c r="F258" s="746">
        <v>184886.476</v>
      </c>
      <c r="G258" s="307"/>
      <c r="H258" s="308"/>
    </row>
    <row r="259" spans="1:8" ht="30.75" customHeight="1">
      <c r="A259" s="688"/>
      <c r="B259" s="688"/>
      <c r="C259" s="688"/>
      <c r="D259" s="744" t="s">
        <v>1423</v>
      </c>
      <c r="E259" s="749" t="s">
        <v>1300</v>
      </c>
      <c r="F259" s="746">
        <v>207601.38099999999</v>
      </c>
      <c r="G259" s="307"/>
      <c r="H259" s="308"/>
    </row>
    <row r="260" spans="1:8" ht="32.25" customHeight="1">
      <c r="A260" s="688"/>
      <c r="B260" s="688"/>
      <c r="C260" s="688"/>
      <c r="D260" s="744" t="s">
        <v>1427</v>
      </c>
      <c r="E260" s="749" t="s">
        <v>1301</v>
      </c>
      <c r="F260" s="746">
        <v>73812.846000000005</v>
      </c>
      <c r="G260" s="307"/>
      <c r="H260" s="308"/>
    </row>
    <row r="261" spans="1:8" ht="30" customHeight="1">
      <c r="A261" s="688"/>
      <c r="B261" s="688"/>
      <c r="C261" s="688"/>
      <c r="D261" s="744" t="s">
        <v>1425</v>
      </c>
      <c r="E261" s="749" t="s">
        <v>1302</v>
      </c>
      <c r="F261" s="746">
        <v>301384.84000000003</v>
      </c>
      <c r="G261" s="307"/>
      <c r="H261" s="308"/>
    </row>
    <row r="262" spans="1:8" ht="43.5" customHeight="1">
      <c r="A262" s="688"/>
      <c r="B262" s="688"/>
      <c r="C262" s="688"/>
      <c r="D262" s="744" t="s">
        <v>1422</v>
      </c>
      <c r="E262" s="749" t="s">
        <v>1303</v>
      </c>
      <c r="F262" s="746">
        <v>415328.39899999998</v>
      </c>
      <c r="G262" s="307"/>
      <c r="H262" s="308"/>
    </row>
    <row r="263" spans="1:8" ht="32.25" customHeight="1">
      <c r="A263" s="688"/>
      <c r="B263" s="688"/>
      <c r="C263" s="688"/>
      <c r="D263" s="744" t="s">
        <v>1427</v>
      </c>
      <c r="E263" s="749" t="s">
        <v>1308</v>
      </c>
      <c r="F263" s="746">
        <v>3394.835</v>
      </c>
      <c r="G263" s="307"/>
      <c r="H263" s="308"/>
    </row>
    <row r="264" spans="1:8" ht="31.5" customHeight="1">
      <c r="A264" s="688"/>
      <c r="B264" s="688"/>
      <c r="C264" s="688"/>
      <c r="D264" s="744" t="s">
        <v>1427</v>
      </c>
      <c r="E264" s="749" t="s">
        <v>2302</v>
      </c>
      <c r="F264" s="746">
        <v>28000</v>
      </c>
      <c r="G264" s="307"/>
      <c r="H264" s="308"/>
    </row>
    <row r="265" spans="1:8" ht="21" customHeight="1">
      <c r="A265" s="688"/>
      <c r="B265" s="688"/>
      <c r="C265" s="688"/>
      <c r="D265" s="744" t="s">
        <v>1427</v>
      </c>
      <c r="E265" s="749" t="s">
        <v>2303</v>
      </c>
      <c r="F265" s="746">
        <v>9120</v>
      </c>
      <c r="G265" s="307"/>
      <c r="H265" s="308"/>
    </row>
    <row r="266" spans="1:8" ht="27.75" customHeight="1">
      <c r="A266" s="688"/>
      <c r="B266" s="688"/>
      <c r="C266" s="688"/>
      <c r="D266" s="744" t="s">
        <v>1427</v>
      </c>
      <c r="E266" s="749" t="s">
        <v>2304</v>
      </c>
      <c r="F266" s="746">
        <v>19200</v>
      </c>
      <c r="G266" s="307"/>
      <c r="H266" s="308"/>
    </row>
    <row r="267" spans="1:8" ht="21" customHeight="1">
      <c r="A267" s="688"/>
      <c r="B267" s="688"/>
      <c r="C267" s="688"/>
      <c r="D267" s="744"/>
      <c r="E267" s="750"/>
      <c r="F267" s="751"/>
      <c r="G267" s="307"/>
      <c r="H267" s="308"/>
    </row>
    <row r="268" spans="1:8" s="687" customFormat="1" ht="14.25">
      <c r="A268" s="683" t="s">
        <v>1687</v>
      </c>
      <c r="B268" s="683"/>
      <c r="C268" s="683">
        <v>11</v>
      </c>
      <c r="D268" s="739"/>
      <c r="E268" s="752"/>
      <c r="F268" s="753"/>
      <c r="G268" s="754"/>
      <c r="H268" s="754"/>
    </row>
    <row r="269" spans="1:8" ht="14.25">
      <c r="A269" s="688"/>
      <c r="B269" s="688"/>
      <c r="C269" s="688"/>
      <c r="D269" s="744"/>
      <c r="E269" s="755" t="s">
        <v>325</v>
      </c>
      <c r="F269" s="756">
        <v>383136</v>
      </c>
      <c r="G269" s="147"/>
      <c r="H269" s="147"/>
    </row>
    <row r="270" spans="1:8" ht="30">
      <c r="A270" s="688"/>
      <c r="B270" s="688"/>
      <c r="C270" s="688"/>
      <c r="D270" s="744" t="s">
        <v>1426</v>
      </c>
      <c r="E270" s="757" t="s">
        <v>2305</v>
      </c>
      <c r="F270" s="756">
        <v>132339</v>
      </c>
      <c r="G270" s="147"/>
      <c r="H270" s="147"/>
    </row>
    <row r="271" spans="1:8" ht="30">
      <c r="A271" s="688"/>
      <c r="B271" s="688"/>
      <c r="C271" s="688"/>
      <c r="D271" s="744" t="s">
        <v>1422</v>
      </c>
      <c r="E271" s="758" t="s">
        <v>2306</v>
      </c>
      <c r="F271" s="756">
        <v>40575</v>
      </c>
      <c r="G271" s="147"/>
      <c r="H271" s="147"/>
    </row>
    <row r="272" spans="1:8" ht="15">
      <c r="A272" s="688"/>
      <c r="B272" s="688"/>
      <c r="C272" s="688"/>
      <c r="D272" s="744" t="s">
        <v>1425</v>
      </c>
      <c r="E272" s="758" t="s">
        <v>2307</v>
      </c>
      <c r="F272" s="756">
        <v>73968</v>
      </c>
      <c r="G272" s="147"/>
      <c r="H272" s="147"/>
    </row>
    <row r="273" spans="1:10" ht="30">
      <c r="A273" s="688"/>
      <c r="B273" s="688"/>
      <c r="C273" s="688"/>
      <c r="D273" s="744" t="s">
        <v>1425</v>
      </c>
      <c r="E273" s="758" t="s">
        <v>2308</v>
      </c>
      <c r="F273" s="756">
        <v>80545</v>
      </c>
      <c r="G273" s="147"/>
      <c r="H273" s="147"/>
    </row>
    <row r="274" spans="1:10" ht="15">
      <c r="A274" s="688"/>
      <c r="B274" s="688"/>
      <c r="C274" s="688">
        <v>15</v>
      </c>
      <c r="D274" s="690"/>
      <c r="E274" s="758"/>
      <c r="F274" s="756"/>
      <c r="G274" s="147"/>
      <c r="H274" s="147"/>
    </row>
    <row r="275" spans="1:10" ht="14.25">
      <c r="A275" s="688"/>
      <c r="B275" s="688"/>
      <c r="C275" s="688"/>
      <c r="D275" s="744"/>
      <c r="E275" s="759" t="s">
        <v>327</v>
      </c>
      <c r="F275" s="756">
        <v>4591898</v>
      </c>
      <c r="G275" s="147"/>
      <c r="H275" s="147"/>
    </row>
    <row r="276" spans="1:10" ht="30">
      <c r="A276" s="688"/>
      <c r="B276" s="688"/>
      <c r="C276" s="688"/>
      <c r="D276" s="744" t="s">
        <v>1426</v>
      </c>
      <c r="E276" s="757" t="s">
        <v>2305</v>
      </c>
      <c r="F276" s="756">
        <v>1327521.5</v>
      </c>
      <c r="G276" s="147"/>
      <c r="H276" s="147"/>
    </row>
    <row r="277" spans="1:10" ht="30">
      <c r="A277" s="688"/>
      <c r="B277" s="688"/>
      <c r="C277" s="688"/>
      <c r="D277" s="744" t="s">
        <v>1423</v>
      </c>
      <c r="E277" s="757" t="s">
        <v>2309</v>
      </c>
      <c r="F277" s="756">
        <v>545750.9</v>
      </c>
      <c r="G277" s="147"/>
      <c r="H277" s="147"/>
    </row>
    <row r="278" spans="1:10" ht="30">
      <c r="A278" s="688"/>
      <c r="B278" s="688"/>
      <c r="C278" s="688"/>
      <c r="D278" s="744" t="s">
        <v>1422</v>
      </c>
      <c r="E278" s="757" t="s">
        <v>2310</v>
      </c>
      <c r="F278" s="756">
        <v>896023.1</v>
      </c>
      <c r="G278" s="147"/>
      <c r="H278" s="147"/>
    </row>
    <row r="279" spans="1:10" ht="30">
      <c r="A279" s="688"/>
      <c r="B279" s="688"/>
      <c r="C279" s="688"/>
      <c r="D279" s="744" t="s">
        <v>1425</v>
      </c>
      <c r="E279" s="757" t="s">
        <v>2308</v>
      </c>
      <c r="F279" s="756">
        <v>1255615</v>
      </c>
      <c r="G279" s="147"/>
      <c r="H279" s="147"/>
    </row>
    <row r="280" spans="1:10" ht="15">
      <c r="A280" s="688"/>
      <c r="B280" s="688"/>
      <c r="C280" s="688"/>
      <c r="D280" s="744" t="s">
        <v>1425</v>
      </c>
      <c r="E280" s="757" t="s">
        <v>2307</v>
      </c>
      <c r="F280" s="756">
        <v>660522.69999999995</v>
      </c>
      <c r="G280" s="147"/>
      <c r="H280" s="147"/>
    </row>
    <row r="281" spans="1:10" ht="14.25">
      <c r="A281" s="688"/>
      <c r="B281" s="688"/>
      <c r="C281" s="688"/>
      <c r="D281" s="690"/>
      <c r="E281" s="759"/>
      <c r="F281" s="756"/>
      <c r="G281" s="147"/>
      <c r="H281" s="147"/>
    </row>
    <row r="282" spans="1:10" s="764" customFormat="1">
      <c r="A282" s="760" t="s">
        <v>640</v>
      </c>
      <c r="B282" s="760"/>
      <c r="C282" s="760">
        <v>11</v>
      </c>
      <c r="D282" s="761"/>
      <c r="E282" s="762"/>
      <c r="F282" s="763"/>
    </row>
    <row r="283" spans="1:10" ht="24">
      <c r="A283" s="688"/>
      <c r="B283" s="688"/>
      <c r="C283" s="688"/>
      <c r="D283" s="690" t="s">
        <v>1259</v>
      </c>
      <c r="E283" s="765" t="s">
        <v>1666</v>
      </c>
      <c r="F283" s="766">
        <v>16448</v>
      </c>
      <c r="J283" s="1"/>
    </row>
    <row r="284" spans="1:10" ht="24">
      <c r="A284" s="688"/>
      <c r="B284" s="688"/>
      <c r="C284" s="688"/>
      <c r="D284" s="690" t="s">
        <v>1426</v>
      </c>
      <c r="E284" s="765" t="s">
        <v>1667</v>
      </c>
      <c r="F284" s="766">
        <v>0</v>
      </c>
      <c r="J284" s="1"/>
    </row>
    <row r="285" spans="1:10" ht="24">
      <c r="A285" s="688"/>
      <c r="B285" s="688"/>
      <c r="C285" s="688"/>
      <c r="D285" s="690" t="s">
        <v>1426</v>
      </c>
      <c r="E285" s="765" t="s">
        <v>1668</v>
      </c>
      <c r="F285" s="766">
        <v>0</v>
      </c>
      <c r="J285" s="1"/>
    </row>
    <row r="286" spans="1:10" ht="24">
      <c r="A286" s="688"/>
      <c r="B286" s="688"/>
      <c r="C286" s="688"/>
      <c r="D286" s="690" t="s">
        <v>1259</v>
      </c>
      <c r="E286" s="765" t="s">
        <v>1669</v>
      </c>
      <c r="F286" s="766">
        <v>0</v>
      </c>
      <c r="J286" s="1"/>
    </row>
    <row r="287" spans="1:10" ht="24">
      <c r="A287" s="688"/>
      <c r="B287" s="688"/>
      <c r="C287" s="688"/>
      <c r="D287" s="690" t="s">
        <v>1426</v>
      </c>
      <c r="E287" s="765" t="s">
        <v>1670</v>
      </c>
      <c r="F287" s="766">
        <v>0</v>
      </c>
      <c r="J287" s="1"/>
    </row>
    <row r="288" spans="1:10" ht="24">
      <c r="A288" s="688"/>
      <c r="B288" s="688"/>
      <c r="C288" s="688"/>
      <c r="D288" s="690" t="s">
        <v>1259</v>
      </c>
      <c r="E288" s="765" t="s">
        <v>1671</v>
      </c>
      <c r="F288" s="766">
        <v>0</v>
      </c>
      <c r="J288" s="1"/>
    </row>
    <row r="289" spans="1:10" ht="24">
      <c r="A289" s="688"/>
      <c r="B289" s="688"/>
      <c r="C289" s="688"/>
      <c r="D289" s="690" t="s">
        <v>1426</v>
      </c>
      <c r="E289" s="765" t="s">
        <v>1672</v>
      </c>
      <c r="F289" s="766">
        <v>0</v>
      </c>
      <c r="J289" s="1"/>
    </row>
    <row r="290" spans="1:10" ht="24">
      <c r="A290" s="688"/>
      <c r="B290" s="688"/>
      <c r="C290" s="688"/>
      <c r="D290" s="690" t="s">
        <v>1426</v>
      </c>
      <c r="E290" s="765" t="s">
        <v>1673</v>
      </c>
      <c r="F290" s="766">
        <v>0</v>
      </c>
    </row>
    <row r="291" spans="1:10" ht="24">
      <c r="A291" s="688"/>
      <c r="B291" s="688"/>
      <c r="C291" s="688"/>
      <c r="D291" s="690" t="s">
        <v>1426</v>
      </c>
      <c r="E291" s="765" t="s">
        <v>1674</v>
      </c>
      <c r="F291" s="766">
        <v>0</v>
      </c>
    </row>
    <row r="292" spans="1:10">
      <c r="A292" s="688"/>
      <c r="B292" s="688"/>
      <c r="C292" s="688"/>
      <c r="D292" s="690" t="s">
        <v>1259</v>
      </c>
      <c r="E292" s="765" t="s">
        <v>1675</v>
      </c>
      <c r="F292" s="766">
        <v>0</v>
      </c>
    </row>
    <row r="293" spans="1:10" ht="24">
      <c r="A293" s="688"/>
      <c r="B293" s="688"/>
      <c r="C293" s="688"/>
      <c r="D293" s="690" t="s">
        <v>1426</v>
      </c>
      <c r="E293" s="765" t="s">
        <v>1676</v>
      </c>
      <c r="F293" s="767">
        <v>111390</v>
      </c>
    </row>
    <row r="294" spans="1:10" ht="24">
      <c r="A294" s="688"/>
      <c r="B294" s="688"/>
      <c r="C294" s="688"/>
      <c r="D294" s="690" t="s">
        <v>1424</v>
      </c>
      <c r="E294" s="765" t="s">
        <v>1677</v>
      </c>
      <c r="F294" s="767">
        <v>31389</v>
      </c>
    </row>
    <row r="295" spans="1:10" ht="24">
      <c r="A295" s="688"/>
      <c r="B295" s="688"/>
      <c r="C295" s="688"/>
      <c r="D295" s="690" t="s">
        <v>1424</v>
      </c>
      <c r="E295" s="765" t="s">
        <v>1311</v>
      </c>
      <c r="F295" s="767">
        <v>23596</v>
      </c>
    </row>
    <row r="296" spans="1:10">
      <c r="A296" s="688"/>
      <c r="B296" s="688"/>
      <c r="C296" s="688"/>
      <c r="D296" s="690" t="s">
        <v>1427</v>
      </c>
      <c r="E296" s="765" t="s">
        <v>1678</v>
      </c>
      <c r="F296" s="767">
        <v>157904.98856</v>
      </c>
    </row>
    <row r="297" spans="1:10" ht="24">
      <c r="A297" s="688"/>
      <c r="B297" s="688"/>
      <c r="C297" s="688"/>
      <c r="D297" s="690" t="s">
        <v>1425</v>
      </c>
      <c r="E297" s="765" t="s">
        <v>1679</v>
      </c>
      <c r="F297" s="767">
        <v>83415</v>
      </c>
    </row>
    <row r="298" spans="1:10" ht="24">
      <c r="A298" s="688"/>
      <c r="B298" s="688"/>
      <c r="C298" s="688"/>
      <c r="D298" s="690" t="s">
        <v>1427</v>
      </c>
      <c r="E298" s="765" t="s">
        <v>1656</v>
      </c>
      <c r="F298" s="766">
        <v>8898</v>
      </c>
    </row>
    <row r="299" spans="1:10" ht="24">
      <c r="A299" s="688"/>
      <c r="B299" s="688"/>
      <c r="C299" s="688"/>
      <c r="D299" s="690" t="s">
        <v>1427</v>
      </c>
      <c r="E299" s="765" t="s">
        <v>1657</v>
      </c>
      <c r="F299" s="766">
        <v>7142</v>
      </c>
    </row>
    <row r="300" spans="1:10" ht="24">
      <c r="A300" s="688"/>
      <c r="B300" s="688"/>
      <c r="C300" s="688"/>
      <c r="D300" s="690" t="s">
        <v>1427</v>
      </c>
      <c r="E300" s="765" t="s">
        <v>1658</v>
      </c>
      <c r="F300" s="766">
        <v>7113</v>
      </c>
    </row>
    <row r="301" spans="1:10" ht="24">
      <c r="A301" s="688"/>
      <c r="B301" s="688"/>
      <c r="C301" s="688"/>
      <c r="D301" s="690" t="s">
        <v>1427</v>
      </c>
      <c r="E301" s="765" t="s">
        <v>1659</v>
      </c>
      <c r="F301" s="766">
        <v>12921</v>
      </c>
    </row>
    <row r="302" spans="1:10" ht="24">
      <c r="A302" s="688"/>
      <c r="B302" s="688"/>
      <c r="C302" s="688"/>
      <c r="D302" s="690" t="s">
        <v>1427</v>
      </c>
      <c r="E302" s="765" t="s">
        <v>1660</v>
      </c>
      <c r="F302" s="766">
        <v>7361</v>
      </c>
    </row>
    <row r="303" spans="1:10" ht="24">
      <c r="A303" s="688"/>
      <c r="B303" s="688"/>
      <c r="C303" s="688"/>
      <c r="D303" s="690" t="s">
        <v>1427</v>
      </c>
      <c r="E303" s="765" t="s">
        <v>1661</v>
      </c>
      <c r="F303" s="766">
        <v>3678</v>
      </c>
    </row>
    <row r="304" spans="1:10" ht="24">
      <c r="A304" s="688"/>
      <c r="B304" s="688"/>
      <c r="C304" s="688"/>
      <c r="D304" s="690" t="s">
        <v>1427</v>
      </c>
      <c r="E304" s="765" t="s">
        <v>1662</v>
      </c>
      <c r="F304" s="766">
        <v>5567</v>
      </c>
    </row>
    <row r="305" spans="1:6" ht="24">
      <c r="A305" s="688"/>
      <c r="B305" s="688"/>
      <c r="C305" s="688"/>
      <c r="D305" s="690" t="s">
        <v>1427</v>
      </c>
      <c r="E305" s="765" t="s">
        <v>1663</v>
      </c>
      <c r="F305" s="766">
        <v>2932</v>
      </c>
    </row>
    <row r="306" spans="1:6" ht="24">
      <c r="A306" s="688"/>
      <c r="B306" s="688"/>
      <c r="C306" s="688"/>
      <c r="D306" s="690" t="s">
        <v>1427</v>
      </c>
      <c r="E306" s="765" t="s">
        <v>1664</v>
      </c>
      <c r="F306" s="766">
        <v>8590</v>
      </c>
    </row>
    <row r="307" spans="1:6" ht="24">
      <c r="A307" s="688"/>
      <c r="B307" s="688"/>
      <c r="C307" s="688"/>
      <c r="D307" s="690" t="s">
        <v>1427</v>
      </c>
      <c r="E307" s="765" t="s">
        <v>1665</v>
      </c>
      <c r="F307" s="766">
        <v>14682</v>
      </c>
    </row>
    <row r="308" spans="1:6">
      <c r="A308" s="688"/>
      <c r="B308" s="688"/>
      <c r="C308" s="688">
        <v>15</v>
      </c>
      <c r="D308" s="690"/>
      <c r="E308" s="768"/>
      <c r="F308" s="769"/>
    </row>
    <row r="309" spans="1:6" ht="24">
      <c r="A309" s="688"/>
      <c r="B309" s="688"/>
      <c r="C309" s="688"/>
      <c r="D309" s="690" t="s">
        <v>1427</v>
      </c>
      <c r="E309" s="765" t="s">
        <v>1656</v>
      </c>
      <c r="F309" s="766">
        <v>110467</v>
      </c>
    </row>
    <row r="310" spans="1:6" ht="24">
      <c r="A310" s="688"/>
      <c r="B310" s="688"/>
      <c r="C310" s="688"/>
      <c r="D310" s="690" t="s">
        <v>1427</v>
      </c>
      <c r="E310" s="765" t="s">
        <v>1657</v>
      </c>
      <c r="F310" s="766">
        <v>118607</v>
      </c>
    </row>
    <row r="311" spans="1:6" ht="24">
      <c r="A311" s="688"/>
      <c r="B311" s="688"/>
      <c r="C311" s="688"/>
      <c r="D311" s="690" t="s">
        <v>1427</v>
      </c>
      <c r="E311" s="765" t="s">
        <v>1658</v>
      </c>
      <c r="F311" s="766">
        <v>89135</v>
      </c>
    </row>
    <row r="312" spans="1:6" ht="24">
      <c r="A312" s="688"/>
      <c r="B312" s="688"/>
      <c r="C312" s="688"/>
      <c r="D312" s="690" t="s">
        <v>1427</v>
      </c>
      <c r="E312" s="765" t="s">
        <v>1659</v>
      </c>
      <c r="F312" s="766">
        <v>152773</v>
      </c>
    </row>
    <row r="313" spans="1:6" ht="24">
      <c r="A313" s="688"/>
      <c r="B313" s="688"/>
      <c r="C313" s="688"/>
      <c r="D313" s="690" t="s">
        <v>1427</v>
      </c>
      <c r="E313" s="765" t="s">
        <v>1660</v>
      </c>
      <c r="F313" s="766">
        <v>103833</v>
      </c>
    </row>
    <row r="314" spans="1:6" ht="24">
      <c r="A314" s="688"/>
      <c r="B314" s="688"/>
      <c r="C314" s="688"/>
      <c r="D314" s="690" t="s">
        <v>1427</v>
      </c>
      <c r="E314" s="765" t="s">
        <v>1661</v>
      </c>
      <c r="F314" s="766">
        <v>64511</v>
      </c>
    </row>
    <row r="315" spans="1:6" ht="24">
      <c r="A315" s="688"/>
      <c r="B315" s="688"/>
      <c r="C315" s="688"/>
      <c r="D315" s="690" t="s">
        <v>1427</v>
      </c>
      <c r="E315" s="765" t="s">
        <v>1662</v>
      </c>
      <c r="F315" s="766">
        <v>71023</v>
      </c>
    </row>
    <row r="316" spans="1:6" ht="24">
      <c r="A316" s="688"/>
      <c r="B316" s="688"/>
      <c r="C316" s="688"/>
      <c r="D316" s="690" t="s">
        <v>1427</v>
      </c>
      <c r="E316" s="765" t="s">
        <v>1663</v>
      </c>
      <c r="F316" s="766">
        <v>95083</v>
      </c>
    </row>
    <row r="317" spans="1:6" ht="24">
      <c r="A317" s="688"/>
      <c r="B317" s="688"/>
      <c r="C317" s="688"/>
      <c r="D317" s="690" t="s">
        <v>1427</v>
      </c>
      <c r="E317" s="765" t="s">
        <v>1664</v>
      </c>
      <c r="F317" s="766">
        <v>98203</v>
      </c>
    </row>
    <row r="318" spans="1:6" ht="24">
      <c r="A318" s="688"/>
      <c r="B318" s="688"/>
      <c r="C318" s="688"/>
      <c r="D318" s="690" t="s">
        <v>1427</v>
      </c>
      <c r="E318" s="765" t="s">
        <v>1665</v>
      </c>
      <c r="F318" s="766">
        <v>163689</v>
      </c>
    </row>
    <row r="319" spans="1:6" ht="24">
      <c r="A319" s="688"/>
      <c r="B319" s="688"/>
      <c r="C319" s="688"/>
      <c r="D319" s="690" t="s">
        <v>1259</v>
      </c>
      <c r="E319" s="765" t="s">
        <v>1666</v>
      </c>
      <c r="F319" s="767">
        <v>145776.87400000001</v>
      </c>
    </row>
    <row r="320" spans="1:6" ht="24">
      <c r="A320" s="688"/>
      <c r="B320" s="688"/>
      <c r="C320" s="688"/>
      <c r="D320" s="690" t="s">
        <v>1426</v>
      </c>
      <c r="E320" s="765" t="s">
        <v>1667</v>
      </c>
      <c r="F320" s="767">
        <v>0</v>
      </c>
    </row>
    <row r="321" spans="1:6" ht="24">
      <c r="A321" s="688"/>
      <c r="B321" s="688"/>
      <c r="C321" s="688"/>
      <c r="D321" s="690" t="s">
        <v>1426</v>
      </c>
      <c r="E321" s="765" t="s">
        <v>1668</v>
      </c>
      <c r="F321" s="767">
        <v>0</v>
      </c>
    </row>
    <row r="322" spans="1:6" ht="24">
      <c r="A322" s="688"/>
      <c r="B322" s="688"/>
      <c r="C322" s="688"/>
      <c r="D322" s="690" t="s">
        <v>1259</v>
      </c>
      <c r="E322" s="765" t="s">
        <v>1669</v>
      </c>
      <c r="F322" s="767">
        <v>0</v>
      </c>
    </row>
    <row r="323" spans="1:6" ht="24">
      <c r="A323" s="688"/>
      <c r="B323" s="688"/>
      <c r="C323" s="688"/>
      <c r="D323" s="690" t="s">
        <v>1426</v>
      </c>
      <c r="E323" s="765" t="s">
        <v>1670</v>
      </c>
      <c r="F323" s="767">
        <v>0</v>
      </c>
    </row>
    <row r="324" spans="1:6" ht="24">
      <c r="A324" s="688"/>
      <c r="B324" s="688"/>
      <c r="C324" s="688"/>
      <c r="D324" s="690" t="s">
        <v>1259</v>
      </c>
      <c r="E324" s="765" t="s">
        <v>1671</v>
      </c>
      <c r="F324" s="767">
        <v>0</v>
      </c>
    </row>
    <row r="325" spans="1:6" ht="24">
      <c r="A325" s="688"/>
      <c r="B325" s="688"/>
      <c r="C325" s="688"/>
      <c r="D325" s="690" t="s">
        <v>1426</v>
      </c>
      <c r="E325" s="765" t="s">
        <v>1672</v>
      </c>
      <c r="F325" s="767">
        <v>0</v>
      </c>
    </row>
    <row r="326" spans="1:6" ht="24">
      <c r="A326" s="688"/>
      <c r="B326" s="688"/>
      <c r="C326" s="688"/>
      <c r="D326" s="690" t="s">
        <v>1426</v>
      </c>
      <c r="E326" s="765" t="s">
        <v>1673</v>
      </c>
      <c r="F326" s="767">
        <v>0</v>
      </c>
    </row>
    <row r="327" spans="1:6" ht="24">
      <c r="A327" s="688"/>
      <c r="B327" s="688"/>
      <c r="C327" s="688"/>
      <c r="D327" s="690" t="s">
        <v>1426</v>
      </c>
      <c r="E327" s="765" t="s">
        <v>1674</v>
      </c>
      <c r="F327" s="767">
        <v>0</v>
      </c>
    </row>
    <row r="328" spans="1:6">
      <c r="A328" s="688"/>
      <c r="B328" s="688"/>
      <c r="C328" s="688"/>
      <c r="D328" s="690" t="s">
        <v>1259</v>
      </c>
      <c r="E328" s="765" t="s">
        <v>1675</v>
      </c>
      <c r="F328" s="767">
        <v>0</v>
      </c>
    </row>
    <row r="329" spans="1:6" ht="24">
      <c r="A329" s="688"/>
      <c r="B329" s="688"/>
      <c r="C329" s="688"/>
      <c r="D329" s="690" t="s">
        <v>1426</v>
      </c>
      <c r="E329" s="765" t="s">
        <v>1676</v>
      </c>
      <c r="F329" s="767">
        <v>1615919.899</v>
      </c>
    </row>
    <row r="330" spans="1:6" ht="24">
      <c r="A330" s="688"/>
      <c r="B330" s="688"/>
      <c r="C330" s="688"/>
      <c r="D330" s="690" t="s">
        <v>1424</v>
      </c>
      <c r="E330" s="765" t="s">
        <v>1677</v>
      </c>
      <c r="F330" s="767">
        <v>303237.22600000002</v>
      </c>
    </row>
    <row r="331" spans="1:6" ht="24">
      <c r="A331" s="688"/>
      <c r="B331" s="688"/>
      <c r="C331" s="688"/>
      <c r="D331" s="690" t="s">
        <v>1424</v>
      </c>
      <c r="E331" s="765" t="s">
        <v>1311</v>
      </c>
      <c r="F331" s="767">
        <v>135236.99901999999</v>
      </c>
    </row>
    <row r="332" spans="1:6">
      <c r="A332" s="688"/>
      <c r="B332" s="688"/>
      <c r="C332" s="688"/>
      <c r="D332" s="690" t="s">
        <v>1427</v>
      </c>
      <c r="E332" s="765" t="s">
        <v>1678</v>
      </c>
      <c r="F332" s="767">
        <v>177788.74304</v>
      </c>
    </row>
    <row r="333" spans="1:6" ht="24">
      <c r="A333" s="688"/>
      <c r="B333" s="688"/>
      <c r="C333" s="688"/>
      <c r="D333" s="690" t="s">
        <v>1425</v>
      </c>
      <c r="E333" s="765" t="s">
        <v>1679</v>
      </c>
      <c r="F333" s="767">
        <v>723619.76820000005</v>
      </c>
    </row>
    <row r="334" spans="1:6">
      <c r="A334" s="688"/>
      <c r="B334" s="688"/>
      <c r="C334" s="688"/>
      <c r="D334" s="690" t="s">
        <v>1427</v>
      </c>
      <c r="E334" s="765" t="s">
        <v>1680</v>
      </c>
      <c r="F334" s="770">
        <v>40266</v>
      </c>
    </row>
    <row r="335" spans="1:6" ht="24">
      <c r="A335" s="688"/>
      <c r="B335" s="688"/>
      <c r="C335" s="688"/>
      <c r="D335" s="690" t="s">
        <v>1426</v>
      </c>
      <c r="E335" s="765" t="s">
        <v>1681</v>
      </c>
      <c r="F335" s="770">
        <v>620451</v>
      </c>
    </row>
    <row r="336" spans="1:6" ht="24">
      <c r="A336" s="688"/>
      <c r="B336" s="688"/>
      <c r="C336" s="688"/>
      <c r="D336" s="690" t="s">
        <v>1427</v>
      </c>
      <c r="E336" s="765" t="s">
        <v>1479</v>
      </c>
      <c r="F336" s="770">
        <v>114341</v>
      </c>
    </row>
    <row r="337" spans="1:6" ht="24">
      <c r="A337" s="688"/>
      <c r="B337" s="688"/>
      <c r="C337" s="688"/>
      <c r="D337" s="690" t="s">
        <v>1423</v>
      </c>
      <c r="E337" s="765" t="s">
        <v>1682</v>
      </c>
      <c r="F337" s="770">
        <v>523008</v>
      </c>
    </row>
    <row r="338" spans="1:6" ht="24">
      <c r="A338" s="688"/>
      <c r="B338" s="688"/>
      <c r="C338" s="688"/>
      <c r="D338" s="690" t="s">
        <v>1423</v>
      </c>
      <c r="E338" s="765" t="s">
        <v>1683</v>
      </c>
      <c r="F338" s="770">
        <v>15948</v>
      </c>
    </row>
    <row r="339" spans="1:6">
      <c r="A339" s="688"/>
      <c r="B339" s="688"/>
      <c r="C339" s="688"/>
      <c r="D339" s="690" t="s">
        <v>1427</v>
      </c>
      <c r="E339" s="765" t="s">
        <v>2311</v>
      </c>
      <c r="F339" s="770">
        <v>6000</v>
      </c>
    </row>
    <row r="340" spans="1:6">
      <c r="A340" s="688"/>
      <c r="B340" s="688"/>
      <c r="C340" s="688"/>
      <c r="D340" s="690"/>
      <c r="E340" s="768"/>
      <c r="F340" s="769"/>
    </row>
    <row r="341" spans="1:6" s="687" customFormat="1" ht="23.25" customHeight="1">
      <c r="A341" s="683" t="s">
        <v>1317</v>
      </c>
      <c r="B341" s="683"/>
      <c r="C341" s="771" t="s">
        <v>261</v>
      </c>
      <c r="D341" s="772"/>
      <c r="E341" s="773"/>
      <c r="F341" s="774">
        <f>SUM(F342:F356)</f>
        <v>673947.71399999992</v>
      </c>
    </row>
    <row r="342" spans="1:6" ht="27" customHeight="1">
      <c r="A342" s="688"/>
      <c r="B342" s="688"/>
      <c r="C342" s="688"/>
      <c r="D342" s="690" t="s">
        <v>1427</v>
      </c>
      <c r="E342" s="775" t="s">
        <v>1688</v>
      </c>
      <c r="F342" s="776">
        <v>175354.30600000001</v>
      </c>
    </row>
    <row r="343" spans="1:6">
      <c r="A343" s="688"/>
      <c r="B343" s="688"/>
      <c r="C343" s="688"/>
      <c r="D343" s="690" t="s">
        <v>1424</v>
      </c>
      <c r="E343" s="775" t="s">
        <v>1318</v>
      </c>
      <c r="F343" s="776">
        <v>26178.893</v>
      </c>
    </row>
    <row r="344" spans="1:6" ht="24">
      <c r="A344" s="688"/>
      <c r="B344" s="688"/>
      <c r="C344" s="688"/>
      <c r="D344" s="690" t="s">
        <v>2208</v>
      </c>
      <c r="E344" s="775" t="s">
        <v>1319</v>
      </c>
      <c r="F344" s="776">
        <v>26842</v>
      </c>
    </row>
    <row r="345" spans="1:6" ht="27.75" customHeight="1">
      <c r="A345" s="688"/>
      <c r="B345" s="688"/>
      <c r="C345" s="688"/>
      <c r="D345" s="690" t="s">
        <v>1259</v>
      </c>
      <c r="E345" s="775" t="s">
        <v>1320</v>
      </c>
      <c r="F345" s="776">
        <v>8420.8449999999993</v>
      </c>
    </row>
    <row r="346" spans="1:6" ht="24">
      <c r="A346" s="688"/>
      <c r="B346" s="688"/>
      <c r="C346" s="688"/>
      <c r="D346" s="690" t="s">
        <v>1259</v>
      </c>
      <c r="E346" s="775" t="s">
        <v>1321</v>
      </c>
      <c r="F346" s="776">
        <v>6987.9669999999996</v>
      </c>
    </row>
    <row r="347" spans="1:6" ht="25.5" customHeight="1">
      <c r="A347" s="688"/>
      <c r="B347" s="688"/>
      <c r="C347" s="688"/>
      <c r="D347" s="690" t="s">
        <v>1259</v>
      </c>
      <c r="E347" s="775" t="s">
        <v>1322</v>
      </c>
      <c r="F347" s="776">
        <v>3881.212</v>
      </c>
    </row>
    <row r="348" spans="1:6" ht="24">
      <c r="A348" s="688"/>
      <c r="B348" s="688"/>
      <c r="C348" s="688"/>
      <c r="D348" s="690" t="s">
        <v>1424</v>
      </c>
      <c r="E348" s="775" t="s">
        <v>1323</v>
      </c>
      <c r="F348" s="776">
        <v>15966</v>
      </c>
    </row>
    <row r="349" spans="1:6" ht="41.25" customHeight="1">
      <c r="A349" s="688"/>
      <c r="B349" s="688"/>
      <c r="C349" s="688"/>
      <c r="D349" s="690" t="s">
        <v>1259</v>
      </c>
      <c r="E349" s="775" t="s">
        <v>1324</v>
      </c>
      <c r="F349" s="776">
        <v>8457.8269999999993</v>
      </c>
    </row>
    <row r="350" spans="1:6" ht="27.75" customHeight="1">
      <c r="A350" s="688"/>
      <c r="B350" s="688"/>
      <c r="C350" s="688"/>
      <c r="D350" s="690" t="s">
        <v>1259</v>
      </c>
      <c r="E350" s="775" t="s">
        <v>1325</v>
      </c>
      <c r="F350" s="776">
        <v>3877.6640000000002</v>
      </c>
    </row>
    <row r="351" spans="1:6" ht="24">
      <c r="A351" s="688"/>
      <c r="B351" s="688"/>
      <c r="C351" s="688"/>
      <c r="D351" s="690" t="s">
        <v>1426</v>
      </c>
      <c r="E351" s="775" t="s">
        <v>1326</v>
      </c>
      <c r="F351" s="776">
        <v>72258</v>
      </c>
    </row>
    <row r="352" spans="1:6">
      <c r="A352" s="688"/>
      <c r="B352" s="688"/>
      <c r="C352" s="688"/>
      <c r="D352" s="690" t="s">
        <v>1425</v>
      </c>
      <c r="E352" s="775" t="s">
        <v>1327</v>
      </c>
      <c r="F352" s="776">
        <v>110560</v>
      </c>
    </row>
    <row r="353" spans="1:6">
      <c r="A353" s="688"/>
      <c r="B353" s="688"/>
      <c r="C353" s="688"/>
      <c r="D353" s="690" t="s">
        <v>1422</v>
      </c>
      <c r="E353" s="775" t="s">
        <v>1328</v>
      </c>
      <c r="F353" s="776">
        <v>100177</v>
      </c>
    </row>
    <row r="354" spans="1:6">
      <c r="A354" s="688"/>
      <c r="B354" s="688"/>
      <c r="C354" s="688"/>
      <c r="D354" s="690" t="s">
        <v>1423</v>
      </c>
      <c r="E354" s="775" t="s">
        <v>1329</v>
      </c>
      <c r="F354" s="776">
        <v>34222</v>
      </c>
    </row>
    <row r="355" spans="1:6" ht="36">
      <c r="A355" s="688"/>
      <c r="B355" s="688"/>
      <c r="C355" s="688"/>
      <c r="D355" s="690" t="s">
        <v>1423</v>
      </c>
      <c r="E355" s="775" t="s">
        <v>1330</v>
      </c>
      <c r="F355" s="776">
        <v>48486</v>
      </c>
    </row>
    <row r="356" spans="1:6" ht="24">
      <c r="A356" s="688"/>
      <c r="B356" s="688"/>
      <c r="C356" s="688"/>
      <c r="D356" s="690" t="s">
        <v>1427</v>
      </c>
      <c r="E356" s="775" t="s">
        <v>1331</v>
      </c>
      <c r="F356" s="776">
        <v>32278</v>
      </c>
    </row>
    <row r="357" spans="1:6">
      <c r="A357" s="688"/>
      <c r="B357" s="688"/>
      <c r="C357" s="777" t="s">
        <v>326</v>
      </c>
      <c r="D357" s="775"/>
      <c r="E357" s="778"/>
      <c r="F357" s="779"/>
    </row>
    <row r="358" spans="1:6">
      <c r="A358" s="688"/>
      <c r="B358" s="688"/>
      <c r="C358" s="688"/>
      <c r="D358" s="690" t="s">
        <v>1427</v>
      </c>
      <c r="E358" s="775" t="s">
        <v>1688</v>
      </c>
      <c r="F358" s="779"/>
    </row>
    <row r="359" spans="1:6" ht="20.25" customHeight="1">
      <c r="A359" s="688"/>
      <c r="B359" s="688"/>
      <c r="C359" s="688"/>
      <c r="D359" s="690" t="s">
        <v>1424</v>
      </c>
      <c r="E359" s="775" t="s">
        <v>1318</v>
      </c>
      <c r="F359" s="776">
        <v>120207.56</v>
      </c>
    </row>
    <row r="360" spans="1:6" ht="24">
      <c r="A360" s="688"/>
      <c r="B360" s="688"/>
      <c r="C360" s="688"/>
      <c r="D360" s="690" t="s">
        <v>1259</v>
      </c>
      <c r="E360" s="775" t="s">
        <v>1319</v>
      </c>
      <c r="F360" s="776">
        <v>166251.791</v>
      </c>
    </row>
    <row r="361" spans="1:6">
      <c r="A361" s="688"/>
      <c r="B361" s="688"/>
      <c r="C361" s="688"/>
      <c r="D361" s="690" t="s">
        <v>1259</v>
      </c>
      <c r="E361" s="775" t="s">
        <v>1320</v>
      </c>
      <c r="F361" s="776">
        <v>65903.148000000001</v>
      </c>
    </row>
    <row r="362" spans="1:6" ht="24">
      <c r="A362" s="688"/>
      <c r="B362" s="688"/>
      <c r="C362" s="688"/>
      <c r="D362" s="690" t="s">
        <v>1259</v>
      </c>
      <c r="E362" s="775" t="s">
        <v>1321</v>
      </c>
      <c r="F362" s="776">
        <v>73515.688999999998</v>
      </c>
    </row>
    <row r="363" spans="1:6">
      <c r="A363" s="688"/>
      <c r="B363" s="688"/>
      <c r="C363" s="688"/>
      <c r="D363" s="690" t="s">
        <v>1259</v>
      </c>
      <c r="E363" s="775" t="s">
        <v>1322</v>
      </c>
      <c r="F363" s="776">
        <v>25274.138999999999</v>
      </c>
    </row>
    <row r="364" spans="1:6" ht="24">
      <c r="A364" s="688"/>
      <c r="B364" s="688"/>
      <c r="C364" s="688"/>
      <c r="D364" s="690" t="s">
        <v>1424</v>
      </c>
      <c r="E364" s="775" t="s">
        <v>1323</v>
      </c>
      <c r="F364" s="776">
        <v>103757.276</v>
      </c>
    </row>
    <row r="365" spans="1:6">
      <c r="A365" s="688"/>
      <c r="B365" s="688"/>
      <c r="C365" s="688"/>
      <c r="D365" s="690" t="s">
        <v>1259</v>
      </c>
      <c r="E365" s="775" t="s">
        <v>1324</v>
      </c>
      <c r="F365" s="776">
        <v>53872.951999999997</v>
      </c>
    </row>
    <row r="366" spans="1:6">
      <c r="A366" s="688"/>
      <c r="B366" s="688"/>
      <c r="C366" s="688"/>
      <c r="D366" s="690" t="s">
        <v>1259</v>
      </c>
      <c r="E366" s="775" t="s">
        <v>1325</v>
      </c>
      <c r="F366" s="776">
        <v>33733.841</v>
      </c>
    </row>
    <row r="367" spans="1:6">
      <c r="A367" s="688"/>
      <c r="B367" s="688"/>
      <c r="C367" s="688"/>
      <c r="D367" s="690" t="s">
        <v>1427</v>
      </c>
      <c r="E367" s="780" t="s">
        <v>2312</v>
      </c>
      <c r="F367" s="776">
        <v>2732.7</v>
      </c>
    </row>
    <row r="368" spans="1:6">
      <c r="A368" s="688"/>
      <c r="B368" s="688"/>
      <c r="C368" s="688"/>
      <c r="D368" s="690" t="s">
        <v>1427</v>
      </c>
      <c r="E368" s="780" t="s">
        <v>2313</v>
      </c>
      <c r="F368" s="776">
        <v>1123.2</v>
      </c>
    </row>
    <row r="369" spans="1:6">
      <c r="A369" s="688"/>
      <c r="B369" s="688"/>
      <c r="C369" s="688"/>
      <c r="D369" s="690" t="s">
        <v>1427</v>
      </c>
      <c r="E369" s="780" t="s">
        <v>2314</v>
      </c>
      <c r="F369" s="776">
        <v>1113.5999999999999</v>
      </c>
    </row>
    <row r="370" spans="1:6">
      <c r="A370" s="688"/>
      <c r="B370" s="688"/>
      <c r="C370" s="688"/>
      <c r="D370" s="690" t="s">
        <v>1427</v>
      </c>
      <c r="E370" s="780" t="s">
        <v>2315</v>
      </c>
      <c r="F370" s="776">
        <v>1113.5999999999999</v>
      </c>
    </row>
    <row r="371" spans="1:6">
      <c r="A371" s="688"/>
      <c r="B371" s="688"/>
      <c r="C371" s="688"/>
      <c r="D371" s="690" t="s">
        <v>1427</v>
      </c>
      <c r="E371" s="780" t="s">
        <v>2316</v>
      </c>
      <c r="F371" s="776">
        <v>1084.5999999999999</v>
      </c>
    </row>
    <row r="372" spans="1:6">
      <c r="A372" s="688"/>
      <c r="B372" s="688"/>
      <c r="C372" s="688"/>
      <c r="D372" s="690" t="s">
        <v>1427</v>
      </c>
      <c r="E372" s="780" t="s">
        <v>2317</v>
      </c>
      <c r="F372" s="776">
        <v>1084.5999999999999</v>
      </c>
    </row>
    <row r="373" spans="1:6" ht="21" customHeight="1">
      <c r="A373" s="688"/>
      <c r="B373" s="688"/>
      <c r="C373" s="688"/>
      <c r="D373" s="690" t="s">
        <v>1427</v>
      </c>
      <c r="E373" s="780" t="s">
        <v>2318</v>
      </c>
      <c r="F373" s="776">
        <v>106.2</v>
      </c>
    </row>
    <row r="374" spans="1:6" ht="24">
      <c r="A374" s="688"/>
      <c r="B374" s="688"/>
      <c r="C374" s="688"/>
      <c r="D374" s="690" t="s">
        <v>1426</v>
      </c>
      <c r="E374" s="775" t="s">
        <v>1326</v>
      </c>
      <c r="F374" s="776">
        <v>945859.9</v>
      </c>
    </row>
    <row r="375" spans="1:6">
      <c r="A375" s="688"/>
      <c r="B375" s="688"/>
      <c r="C375" s="688"/>
      <c r="D375" s="690" t="s">
        <v>1425</v>
      </c>
      <c r="E375" s="775" t="s">
        <v>1327</v>
      </c>
      <c r="F375" s="776">
        <v>372017.6</v>
      </c>
    </row>
    <row r="376" spans="1:6">
      <c r="A376" s="688"/>
      <c r="B376" s="688"/>
      <c r="C376" s="688"/>
      <c r="D376" s="690" t="s">
        <v>1422</v>
      </c>
      <c r="E376" s="775" t="s">
        <v>1328</v>
      </c>
      <c r="F376" s="776">
        <v>532550</v>
      </c>
    </row>
    <row r="377" spans="1:6">
      <c r="A377" s="688"/>
      <c r="B377" s="688"/>
      <c r="C377" s="688"/>
      <c r="D377" s="690" t="s">
        <v>1423</v>
      </c>
      <c r="E377" s="775" t="s">
        <v>1329</v>
      </c>
      <c r="F377" s="776">
        <v>171226</v>
      </c>
    </row>
    <row r="378" spans="1:6" ht="36">
      <c r="A378" s="688"/>
      <c r="B378" s="688"/>
      <c r="C378" s="688"/>
      <c r="D378" s="690" t="s">
        <v>1423</v>
      </c>
      <c r="E378" s="775" t="s">
        <v>1330</v>
      </c>
      <c r="F378" s="776">
        <v>218032</v>
      </c>
    </row>
    <row r="379" spans="1:6" ht="24">
      <c r="A379" s="688"/>
      <c r="B379" s="688"/>
      <c r="C379" s="688"/>
      <c r="D379" s="690" t="s">
        <v>1427</v>
      </c>
      <c r="E379" s="775" t="s">
        <v>1331</v>
      </c>
      <c r="F379" s="776">
        <v>118872</v>
      </c>
    </row>
    <row r="380" spans="1:6" ht="24">
      <c r="A380" s="688"/>
      <c r="B380" s="688"/>
      <c r="C380" s="688"/>
      <c r="D380" s="690" t="s">
        <v>1427</v>
      </c>
      <c r="E380" s="775" t="s">
        <v>1332</v>
      </c>
      <c r="F380" s="776">
        <v>27453</v>
      </c>
    </row>
    <row r="381" spans="1:6" ht="24">
      <c r="A381" s="688"/>
      <c r="B381" s="688"/>
      <c r="C381" s="688"/>
      <c r="D381" s="690" t="s">
        <v>1427</v>
      </c>
      <c r="E381" s="775" t="s">
        <v>1334</v>
      </c>
      <c r="F381" s="776">
        <v>2539</v>
      </c>
    </row>
    <row r="382" spans="1:6" ht="24">
      <c r="A382" s="688"/>
      <c r="B382" s="688"/>
      <c r="C382" s="688"/>
      <c r="D382" s="690" t="s">
        <v>1427</v>
      </c>
      <c r="E382" s="775" t="s">
        <v>1335</v>
      </c>
      <c r="F382" s="776">
        <v>23472</v>
      </c>
    </row>
    <row r="383" spans="1:6" ht="24">
      <c r="A383" s="688"/>
      <c r="B383" s="688"/>
      <c r="C383" s="688"/>
      <c r="D383" s="690" t="s">
        <v>1427</v>
      </c>
      <c r="E383" s="775" t="s">
        <v>1336</v>
      </c>
      <c r="F383" s="776">
        <v>8579</v>
      </c>
    </row>
    <row r="384" spans="1:6" ht="24">
      <c r="A384" s="688"/>
      <c r="B384" s="688"/>
      <c r="C384" s="688"/>
      <c r="D384" s="690" t="s">
        <v>1427</v>
      </c>
      <c r="E384" s="775" t="s">
        <v>1337</v>
      </c>
      <c r="F384" s="776">
        <v>4942</v>
      </c>
    </row>
    <row r="385" spans="1:6">
      <c r="A385" s="688"/>
      <c r="B385" s="688"/>
      <c r="C385" s="688"/>
      <c r="D385" s="690" t="s">
        <v>1427</v>
      </c>
      <c r="E385" s="775" t="s">
        <v>1338</v>
      </c>
      <c r="F385" s="776">
        <v>11736</v>
      </c>
    </row>
    <row r="386" spans="1:6" ht="24">
      <c r="A386" s="688"/>
      <c r="B386" s="688"/>
      <c r="C386" s="688"/>
      <c r="D386" s="690" t="s">
        <v>1427</v>
      </c>
      <c r="E386" s="775" t="s">
        <v>1339</v>
      </c>
      <c r="F386" s="776">
        <v>12966</v>
      </c>
    </row>
    <row r="387" spans="1:6">
      <c r="A387" s="688"/>
      <c r="B387" s="688"/>
      <c r="C387" s="688"/>
      <c r="D387" s="690" t="s">
        <v>1427</v>
      </c>
      <c r="E387" s="775" t="s">
        <v>1340</v>
      </c>
      <c r="F387" s="776">
        <v>8044</v>
      </c>
    </row>
    <row r="388" spans="1:6" ht="24">
      <c r="A388" s="688"/>
      <c r="B388" s="688"/>
      <c r="C388" s="688"/>
      <c r="D388" s="690" t="s">
        <v>1427</v>
      </c>
      <c r="E388" s="775" t="s">
        <v>1341</v>
      </c>
      <c r="F388" s="776">
        <v>10670</v>
      </c>
    </row>
    <row r="389" spans="1:6" ht="24">
      <c r="A389" s="688"/>
      <c r="B389" s="688"/>
      <c r="C389" s="688"/>
      <c r="D389" s="690" t="s">
        <v>1427</v>
      </c>
      <c r="E389" s="775" t="s">
        <v>1342</v>
      </c>
      <c r="F389" s="776">
        <v>2059</v>
      </c>
    </row>
    <row r="390" spans="1:6" ht="24">
      <c r="A390" s="688"/>
      <c r="B390" s="688"/>
      <c r="C390" s="688"/>
      <c r="D390" s="690" t="s">
        <v>1427</v>
      </c>
      <c r="E390" s="775" t="s">
        <v>1343</v>
      </c>
      <c r="F390" s="776">
        <v>9265</v>
      </c>
    </row>
    <row r="391" spans="1:6" ht="24">
      <c r="A391" s="688"/>
      <c r="B391" s="688"/>
      <c r="C391" s="688"/>
      <c r="D391" s="690" t="s">
        <v>1427</v>
      </c>
      <c r="E391" s="775" t="s">
        <v>1344</v>
      </c>
      <c r="F391" s="776">
        <v>15785</v>
      </c>
    </row>
    <row r="392" spans="1:6">
      <c r="A392" s="688"/>
      <c r="B392" s="688"/>
      <c r="C392" s="688"/>
      <c r="D392" s="690"/>
      <c r="E392" s="781"/>
      <c r="F392" s="776"/>
    </row>
    <row r="393" spans="1:6" s="782" customFormat="1" ht="60">
      <c r="A393" s="688" t="s">
        <v>1744</v>
      </c>
      <c r="B393" s="688"/>
      <c r="C393" s="688"/>
      <c r="D393" s="690"/>
      <c r="E393" s="781" t="s">
        <v>339</v>
      </c>
      <c r="F393" s="721">
        <v>4393184.8341899998</v>
      </c>
    </row>
    <row r="394" spans="1:6">
      <c r="A394" s="688"/>
      <c r="B394" s="688"/>
      <c r="C394" s="688">
        <v>11</v>
      </c>
      <c r="D394" s="690"/>
      <c r="E394" s="783" t="s">
        <v>325</v>
      </c>
      <c r="F394" s="784">
        <v>411060.79414000001</v>
      </c>
    </row>
    <row r="395" spans="1:6">
      <c r="A395" s="688"/>
      <c r="B395" s="688"/>
      <c r="C395" s="688"/>
      <c r="D395" s="690"/>
      <c r="E395" s="783"/>
      <c r="F395" s="784"/>
    </row>
    <row r="396" spans="1:6">
      <c r="A396" s="688"/>
      <c r="B396" s="688"/>
      <c r="C396" s="688">
        <v>15</v>
      </c>
      <c r="D396" s="690"/>
      <c r="E396" s="785" t="s">
        <v>327</v>
      </c>
      <c r="F396" s="784">
        <v>3982124.04005</v>
      </c>
    </row>
    <row r="397" spans="1:6">
      <c r="A397" s="688"/>
      <c r="B397" s="688"/>
      <c r="C397" s="688"/>
      <c r="D397" s="690" t="s">
        <v>1422</v>
      </c>
      <c r="E397" s="786" t="s">
        <v>1689</v>
      </c>
      <c r="F397" s="787">
        <v>266717.68903000001</v>
      </c>
    </row>
    <row r="398" spans="1:6" ht="33.75">
      <c r="A398" s="688"/>
      <c r="B398" s="688"/>
      <c r="C398" s="688"/>
      <c r="D398" s="690" t="s">
        <v>1259</v>
      </c>
      <c r="E398" s="786" t="s">
        <v>2319</v>
      </c>
      <c r="F398" s="787">
        <v>80377.707689999996</v>
      </c>
    </row>
    <row r="399" spans="1:6" ht="33.75">
      <c r="A399" s="688"/>
      <c r="B399" s="688"/>
      <c r="C399" s="688"/>
      <c r="D399" s="690" t="s">
        <v>1422</v>
      </c>
      <c r="E399" s="786" t="s">
        <v>2320</v>
      </c>
      <c r="F399" s="787">
        <v>132050.60686</v>
      </c>
    </row>
    <row r="400" spans="1:6" ht="22.5">
      <c r="A400" s="688"/>
      <c r="B400" s="688"/>
      <c r="C400" s="688"/>
      <c r="D400" s="690" t="s">
        <v>1426</v>
      </c>
      <c r="E400" s="786" t="s">
        <v>1692</v>
      </c>
      <c r="F400" s="787">
        <v>806295.73166000005</v>
      </c>
    </row>
    <row r="401" spans="1:6" ht="22.5">
      <c r="A401" s="688"/>
      <c r="B401" s="688"/>
      <c r="C401" s="688"/>
      <c r="D401" s="690" t="s">
        <v>1424</v>
      </c>
      <c r="E401" s="786" t="s">
        <v>1693</v>
      </c>
      <c r="F401" s="787">
        <v>258683.87591999999</v>
      </c>
    </row>
    <row r="402" spans="1:6" ht="22.5">
      <c r="A402" s="688"/>
      <c r="B402" s="688"/>
      <c r="C402" s="688"/>
      <c r="D402" s="690" t="s">
        <v>1426</v>
      </c>
      <c r="E402" s="786" t="s">
        <v>1694</v>
      </c>
      <c r="F402" s="787">
        <v>194869.02724</v>
      </c>
    </row>
    <row r="403" spans="1:6" ht="33.75">
      <c r="A403" s="688"/>
      <c r="B403" s="688"/>
      <c r="C403" s="688"/>
      <c r="D403" s="690" t="s">
        <v>1426</v>
      </c>
      <c r="E403" s="786" t="s">
        <v>1695</v>
      </c>
      <c r="F403" s="787">
        <v>291574.03181999997</v>
      </c>
    </row>
    <row r="404" spans="1:6" ht="22.5">
      <c r="A404" s="688"/>
      <c r="B404" s="688"/>
      <c r="C404" s="688"/>
      <c r="D404" s="690" t="s">
        <v>1424</v>
      </c>
      <c r="E404" s="786" t="s">
        <v>1696</v>
      </c>
      <c r="F404" s="787">
        <v>96718.096109999999</v>
      </c>
    </row>
    <row r="405" spans="1:6" ht="22.5">
      <c r="A405" s="688"/>
      <c r="B405" s="688"/>
      <c r="C405" s="688"/>
      <c r="D405" s="690" t="s">
        <v>1422</v>
      </c>
      <c r="E405" s="786" t="s">
        <v>1697</v>
      </c>
      <c r="F405" s="787">
        <v>775689.57478999998</v>
      </c>
    </row>
    <row r="406" spans="1:6" ht="22.5">
      <c r="A406" s="688"/>
      <c r="B406" s="688"/>
      <c r="C406" s="688"/>
      <c r="D406" s="690" t="s">
        <v>1259</v>
      </c>
      <c r="E406" s="786" t="s">
        <v>1698</v>
      </c>
      <c r="F406" s="787">
        <v>258658.19307000001</v>
      </c>
    </row>
    <row r="407" spans="1:6">
      <c r="A407" s="688"/>
      <c r="B407" s="688"/>
      <c r="C407" s="688"/>
      <c r="D407" s="690" t="s">
        <v>1427</v>
      </c>
      <c r="E407" s="786" t="s">
        <v>1449</v>
      </c>
      <c r="F407" s="787">
        <v>180447.56</v>
      </c>
    </row>
    <row r="408" spans="1:6">
      <c r="A408" s="688"/>
      <c r="B408" s="688"/>
      <c r="C408" s="688"/>
      <c r="D408" s="690" t="s">
        <v>1427</v>
      </c>
      <c r="E408" s="786" t="s">
        <v>1450</v>
      </c>
      <c r="F408" s="787">
        <v>212563.16</v>
      </c>
    </row>
    <row r="409" spans="1:6">
      <c r="A409" s="688"/>
      <c r="B409" s="688"/>
      <c r="C409" s="688"/>
      <c r="D409" s="690" t="s">
        <v>1427</v>
      </c>
      <c r="E409" s="786" t="s">
        <v>2321</v>
      </c>
      <c r="F409" s="787">
        <v>66526.635999999999</v>
      </c>
    </row>
    <row r="410" spans="1:6">
      <c r="A410" s="688"/>
      <c r="B410" s="688"/>
      <c r="C410" s="688"/>
      <c r="D410" s="690" t="s">
        <v>1427</v>
      </c>
      <c r="E410" s="786" t="s">
        <v>1452</v>
      </c>
      <c r="F410" s="787">
        <v>25467.56</v>
      </c>
    </row>
    <row r="411" spans="1:6">
      <c r="A411" s="688"/>
      <c r="B411" s="688"/>
      <c r="C411" s="688"/>
      <c r="D411" s="690" t="s">
        <v>1427</v>
      </c>
      <c r="E411" s="786" t="s">
        <v>1453</v>
      </c>
      <c r="F411" s="787">
        <v>81103.502000000008</v>
      </c>
    </row>
    <row r="412" spans="1:6" ht="22.5">
      <c r="A412" s="688"/>
      <c r="B412" s="688"/>
      <c r="C412" s="688"/>
      <c r="D412" s="690" t="s">
        <v>1423</v>
      </c>
      <c r="E412" s="786" t="s">
        <v>1454</v>
      </c>
      <c r="F412" s="787">
        <v>390329.51212000003</v>
      </c>
    </row>
    <row r="413" spans="1:6">
      <c r="A413" s="688"/>
      <c r="B413" s="688"/>
      <c r="C413" s="688"/>
      <c r="D413" s="690" t="s">
        <v>1427</v>
      </c>
      <c r="E413" s="786" t="s">
        <v>1455</v>
      </c>
      <c r="F413" s="787">
        <v>52480.791819999999</v>
      </c>
    </row>
    <row r="414" spans="1:6">
      <c r="A414" s="688"/>
      <c r="B414" s="688"/>
      <c r="C414" s="688"/>
      <c r="D414" s="690" t="s">
        <v>1427</v>
      </c>
      <c r="E414" s="786" t="s">
        <v>1456</v>
      </c>
      <c r="F414" s="787">
        <v>12035</v>
      </c>
    </row>
    <row r="415" spans="1:6">
      <c r="A415" s="688"/>
      <c r="B415" s="688"/>
      <c r="C415" s="688"/>
      <c r="D415" s="690" t="s">
        <v>1427</v>
      </c>
      <c r="E415" s="786" t="s">
        <v>1457</v>
      </c>
      <c r="F415" s="787">
        <v>38681.85989</v>
      </c>
    </row>
    <row r="416" spans="1:6">
      <c r="A416" s="688"/>
      <c r="B416" s="688"/>
      <c r="C416" s="688"/>
      <c r="D416" s="690" t="s">
        <v>1427</v>
      </c>
      <c r="E416" s="786" t="s">
        <v>1458</v>
      </c>
      <c r="F416" s="787">
        <v>14930.5</v>
      </c>
    </row>
    <row r="417" spans="1:6">
      <c r="A417" s="688"/>
      <c r="B417" s="688"/>
      <c r="C417" s="688"/>
      <c r="D417" s="690" t="s">
        <v>1427</v>
      </c>
      <c r="E417" s="786" t="s">
        <v>1459</v>
      </c>
      <c r="F417" s="787">
        <v>22084.258000000002</v>
      </c>
    </row>
    <row r="418" spans="1:6">
      <c r="A418" s="688"/>
      <c r="B418" s="688"/>
      <c r="C418" s="688"/>
      <c r="D418" s="690" t="s">
        <v>1427</v>
      </c>
      <c r="E418" s="786" t="s">
        <v>1460</v>
      </c>
      <c r="F418" s="787">
        <v>17580.9149</v>
      </c>
    </row>
    <row r="419" spans="1:6">
      <c r="A419" s="688"/>
      <c r="B419" s="688"/>
      <c r="C419" s="688"/>
      <c r="D419" s="690" t="s">
        <v>1427</v>
      </c>
      <c r="E419" s="786" t="s">
        <v>1461</v>
      </c>
      <c r="F419" s="787">
        <v>3743.837</v>
      </c>
    </row>
    <row r="420" spans="1:6">
      <c r="A420" s="688"/>
      <c r="B420" s="688"/>
      <c r="C420" s="688"/>
      <c r="D420" s="690" t="s">
        <v>1427</v>
      </c>
      <c r="E420" s="786" t="s">
        <v>1462</v>
      </c>
      <c r="F420" s="787">
        <v>16189.619629999999</v>
      </c>
    </row>
    <row r="421" spans="1:6">
      <c r="A421" s="688"/>
      <c r="B421" s="688"/>
      <c r="C421" s="688"/>
      <c r="D421" s="690" t="s">
        <v>1427</v>
      </c>
      <c r="E421" s="786" t="s">
        <v>1463</v>
      </c>
      <c r="F421" s="787">
        <v>2822.0333000000001</v>
      </c>
    </row>
    <row r="422" spans="1:6">
      <c r="A422" s="688"/>
      <c r="B422" s="688"/>
      <c r="C422" s="688"/>
      <c r="D422" s="690" t="s">
        <v>1427</v>
      </c>
      <c r="E422" s="786" t="s">
        <v>1464</v>
      </c>
      <c r="F422" s="787">
        <v>50572.739849999998</v>
      </c>
    </row>
    <row r="423" spans="1:6">
      <c r="A423" s="688"/>
      <c r="B423" s="688"/>
      <c r="C423" s="688"/>
      <c r="D423" s="690" t="s">
        <v>1427</v>
      </c>
      <c r="E423" s="786" t="s">
        <v>1465</v>
      </c>
      <c r="F423" s="787">
        <v>3177</v>
      </c>
    </row>
    <row r="424" spans="1:6">
      <c r="A424" s="688"/>
      <c r="B424" s="688"/>
      <c r="C424" s="688"/>
      <c r="D424" s="690" t="s">
        <v>1427</v>
      </c>
      <c r="E424" s="786" t="s">
        <v>1466</v>
      </c>
      <c r="F424" s="787">
        <v>4165.3047999999999</v>
      </c>
    </row>
    <row r="425" spans="1:6">
      <c r="A425" s="688"/>
      <c r="B425" s="688"/>
      <c r="C425" s="688"/>
      <c r="D425" s="690" t="s">
        <v>1427</v>
      </c>
      <c r="E425" s="786" t="s">
        <v>1467</v>
      </c>
      <c r="F425" s="787">
        <v>17111</v>
      </c>
    </row>
    <row r="426" spans="1:6">
      <c r="A426" s="688"/>
      <c r="B426" s="688"/>
      <c r="C426" s="688"/>
      <c r="D426" s="690" t="s">
        <v>1427</v>
      </c>
      <c r="E426" s="786" t="s">
        <v>1468</v>
      </c>
      <c r="F426" s="787">
        <v>6847.8604500000001</v>
      </c>
    </row>
    <row r="427" spans="1:6">
      <c r="A427" s="688"/>
      <c r="B427" s="688"/>
      <c r="C427" s="688"/>
      <c r="D427" s="690" t="s">
        <v>1427</v>
      </c>
      <c r="E427" s="786" t="s">
        <v>1469</v>
      </c>
      <c r="F427" s="787">
        <v>12689.650239999999</v>
      </c>
    </row>
    <row r="428" spans="1:6" ht="22.5">
      <c r="A428" s="688"/>
      <c r="B428" s="688"/>
      <c r="C428" s="688"/>
      <c r="D428" s="690" t="s">
        <v>1427</v>
      </c>
      <c r="E428" s="786" t="s">
        <v>2322</v>
      </c>
      <c r="F428" s="787"/>
    </row>
    <row r="429" spans="1:6">
      <c r="A429" s="688"/>
      <c r="B429" s="688"/>
      <c r="C429" s="688"/>
      <c r="D429" s="690"/>
      <c r="E429" s="688"/>
      <c r="F429" s="784"/>
    </row>
    <row r="430" spans="1:6" s="687" customFormat="1" ht="36">
      <c r="A430" s="683" t="s">
        <v>1743</v>
      </c>
      <c r="B430" s="683"/>
      <c r="C430" s="683">
        <v>11</v>
      </c>
      <c r="D430" s="698" t="s">
        <v>1423</v>
      </c>
      <c r="E430" s="788" t="s">
        <v>2323</v>
      </c>
      <c r="F430" s="789">
        <v>12565.995000000001</v>
      </c>
    </row>
    <row r="431" spans="1:6" s="1" customFormat="1" ht="24">
      <c r="A431" s="688"/>
      <c r="B431" s="688"/>
      <c r="C431" s="688"/>
      <c r="D431" s="690" t="s">
        <v>1426</v>
      </c>
      <c r="E431" s="723" t="s">
        <v>2324</v>
      </c>
      <c r="F431" s="790">
        <v>99174.554000000004</v>
      </c>
    </row>
    <row r="432" spans="1:6" s="1" customFormat="1" ht="24">
      <c r="A432" s="688"/>
      <c r="B432" s="688"/>
      <c r="C432" s="688"/>
      <c r="D432" s="690" t="s">
        <v>1422</v>
      </c>
      <c r="E432" s="723" t="s">
        <v>2325</v>
      </c>
      <c r="F432" s="790">
        <v>22894.995999999999</v>
      </c>
    </row>
    <row r="433" spans="1:6" s="1" customFormat="1" ht="24">
      <c r="A433" s="688"/>
      <c r="B433" s="688"/>
      <c r="C433" s="688"/>
      <c r="D433" s="690" t="s">
        <v>1425</v>
      </c>
      <c r="E433" s="723" t="s">
        <v>2326</v>
      </c>
      <c r="F433" s="790">
        <v>53956.991999999998</v>
      </c>
    </row>
    <row r="434" spans="1:6" s="1" customFormat="1" ht="24">
      <c r="A434" s="688"/>
      <c r="B434" s="688"/>
      <c r="C434" s="688"/>
      <c r="D434" s="690" t="s">
        <v>1427</v>
      </c>
      <c r="E434" s="723" t="s">
        <v>2327</v>
      </c>
      <c r="F434" s="790">
        <v>16148.894990000001</v>
      </c>
    </row>
    <row r="435" spans="1:6" s="1" customFormat="1" ht="24">
      <c r="A435" s="688"/>
      <c r="B435" s="688"/>
      <c r="C435" s="688"/>
      <c r="D435" s="690" t="s">
        <v>1427</v>
      </c>
      <c r="E435" s="723" t="s">
        <v>2328</v>
      </c>
      <c r="F435" s="790">
        <v>2505.998</v>
      </c>
    </row>
    <row r="436" spans="1:6" s="1" customFormat="1" ht="24">
      <c r="A436" s="688"/>
      <c r="B436" s="688"/>
      <c r="C436" s="688"/>
      <c r="D436" s="690" t="s">
        <v>1427</v>
      </c>
      <c r="E436" s="723" t="s">
        <v>2329</v>
      </c>
      <c r="F436" s="790">
        <v>2239.998</v>
      </c>
    </row>
    <row r="437" spans="1:6" s="1" customFormat="1" ht="24">
      <c r="A437" s="688"/>
      <c r="B437" s="688"/>
      <c r="C437" s="688"/>
      <c r="D437" s="690" t="s">
        <v>1427</v>
      </c>
      <c r="E437" s="723" t="s">
        <v>2330</v>
      </c>
      <c r="F437" s="790">
        <v>2086</v>
      </c>
    </row>
    <row r="438" spans="1:6" s="1" customFormat="1" ht="23.25" customHeight="1">
      <c r="A438" s="688"/>
      <c r="B438" s="688"/>
      <c r="C438" s="688"/>
      <c r="D438" s="690" t="s">
        <v>1427</v>
      </c>
      <c r="E438" s="723" t="s">
        <v>2331</v>
      </c>
      <c r="F438" s="790">
        <v>2328.0010000000002</v>
      </c>
    </row>
    <row r="439" spans="1:6" s="1" customFormat="1" ht="38.25" customHeight="1">
      <c r="A439" s="688"/>
      <c r="B439" s="688"/>
      <c r="C439" s="688"/>
      <c r="D439" s="690" t="s">
        <v>1427</v>
      </c>
      <c r="E439" s="791" t="s">
        <v>2332</v>
      </c>
      <c r="F439" s="790">
        <v>852.99900000000002</v>
      </c>
    </row>
    <row r="440" spans="1:6" s="1" customFormat="1" ht="36">
      <c r="A440" s="688"/>
      <c r="B440" s="688"/>
      <c r="C440" s="688"/>
      <c r="D440" s="690" t="s">
        <v>1422</v>
      </c>
      <c r="E440" s="723" t="s">
        <v>2333</v>
      </c>
      <c r="F440" s="790">
        <v>78322.040999999997</v>
      </c>
    </row>
    <row r="441" spans="1:6" s="1" customFormat="1" ht="36">
      <c r="A441" s="688"/>
      <c r="B441" s="688"/>
      <c r="C441" s="688"/>
      <c r="D441" s="690" t="s">
        <v>1423</v>
      </c>
      <c r="E441" s="723" t="s">
        <v>2334</v>
      </c>
      <c r="F441" s="790">
        <f>19626+11150.144</f>
        <v>30776.144</v>
      </c>
    </row>
    <row r="442" spans="1:6" s="1" customFormat="1" ht="24">
      <c r="A442" s="688"/>
      <c r="B442" s="688"/>
      <c r="C442" s="688"/>
      <c r="D442" s="690" t="s">
        <v>1427</v>
      </c>
      <c r="E442" s="792" t="s">
        <v>2335</v>
      </c>
      <c r="F442" s="790">
        <v>27644</v>
      </c>
    </row>
    <row r="443" spans="1:6" s="1" customFormat="1" ht="36">
      <c r="A443" s="688"/>
      <c r="B443" s="688"/>
      <c r="C443" s="688"/>
      <c r="D443" s="690" t="s">
        <v>1424</v>
      </c>
      <c r="E443" s="792" t="s">
        <v>2336</v>
      </c>
      <c r="F443" s="793">
        <v>55928</v>
      </c>
    </row>
    <row r="444" spans="1:6" s="1" customFormat="1" ht="36">
      <c r="A444" s="688"/>
      <c r="B444" s="688"/>
      <c r="C444" s="688"/>
      <c r="D444" s="690" t="s">
        <v>1424</v>
      </c>
      <c r="E444" s="792" t="s">
        <v>2337</v>
      </c>
      <c r="F444" s="793">
        <v>10947.6</v>
      </c>
    </row>
    <row r="445" spans="1:6" s="1" customFormat="1" ht="24">
      <c r="A445" s="688"/>
      <c r="B445" s="688"/>
      <c r="C445" s="688">
        <v>15</v>
      </c>
      <c r="D445" s="690" t="s">
        <v>1423</v>
      </c>
      <c r="E445" s="792" t="s">
        <v>2338</v>
      </c>
      <c r="F445" s="790">
        <v>364434.20801</v>
      </c>
    </row>
    <row r="446" spans="1:6" s="1" customFormat="1" ht="24">
      <c r="A446" s="688"/>
      <c r="B446" s="688"/>
      <c r="C446" s="688"/>
      <c r="D446" s="690" t="s">
        <v>1426</v>
      </c>
      <c r="E446" s="792" t="s">
        <v>2324</v>
      </c>
      <c r="F446" s="790">
        <f>2037358.97901+112135.998-4.577</f>
        <v>2149490.40001</v>
      </c>
    </row>
    <row r="447" spans="1:6" s="1" customFormat="1" ht="24">
      <c r="A447" s="688"/>
      <c r="B447" s="688"/>
      <c r="C447" s="688"/>
      <c r="D447" s="690" t="s">
        <v>1422</v>
      </c>
      <c r="E447" s="792" t="s">
        <v>2325</v>
      </c>
      <c r="F447" s="790">
        <v>952484.71600999997</v>
      </c>
    </row>
    <row r="448" spans="1:6" s="1" customFormat="1" ht="24">
      <c r="A448" s="688"/>
      <c r="B448" s="688"/>
      <c r="C448" s="688"/>
      <c r="D448" s="690" t="s">
        <v>1425</v>
      </c>
      <c r="E448" s="792" t="s">
        <v>2326</v>
      </c>
      <c r="F448" s="790">
        <v>285523.49800000002</v>
      </c>
    </row>
    <row r="449" spans="1:6" s="1" customFormat="1" ht="24">
      <c r="A449" s="688"/>
      <c r="B449" s="688"/>
      <c r="C449" s="688"/>
      <c r="D449" s="690" t="s">
        <v>1427</v>
      </c>
      <c r="E449" s="792" t="s">
        <v>2327</v>
      </c>
      <c r="F449" s="790">
        <v>113978.524</v>
      </c>
    </row>
    <row r="450" spans="1:6" s="1" customFormat="1" ht="24">
      <c r="A450" s="688"/>
      <c r="B450" s="688"/>
      <c r="C450" s="688"/>
      <c r="D450" s="690" t="s">
        <v>1427</v>
      </c>
      <c r="E450" s="792" t="s">
        <v>2328</v>
      </c>
      <c r="F450" s="790">
        <v>33477.677009999999</v>
      </c>
    </row>
    <row r="451" spans="1:6" s="1" customFormat="1" ht="24">
      <c r="A451" s="688"/>
      <c r="B451" s="688"/>
      <c r="C451" s="688"/>
      <c r="D451" s="690" t="s">
        <v>1427</v>
      </c>
      <c r="E451" s="792" t="s">
        <v>2329</v>
      </c>
      <c r="F451" s="790">
        <v>59266.527999999998</v>
      </c>
    </row>
    <row r="452" spans="1:6" s="1" customFormat="1" ht="24">
      <c r="A452" s="688"/>
      <c r="B452" s="688"/>
      <c r="C452" s="688"/>
      <c r="D452" s="690" t="s">
        <v>1427</v>
      </c>
      <c r="E452" s="792" t="s">
        <v>2330</v>
      </c>
      <c r="F452" s="790">
        <f>15183.33901-1.311</f>
        <v>15182.02801</v>
      </c>
    </row>
    <row r="453" spans="1:6" s="1" customFormat="1" ht="24">
      <c r="A453" s="688"/>
      <c r="B453" s="688"/>
      <c r="C453" s="688"/>
      <c r="D453" s="690" t="s">
        <v>1427</v>
      </c>
      <c r="E453" s="792" t="s">
        <v>2331</v>
      </c>
      <c r="F453" s="790">
        <v>89987.444010000007</v>
      </c>
    </row>
    <row r="454" spans="1:6" s="1" customFormat="1" ht="36.75" customHeight="1">
      <c r="A454" s="688"/>
      <c r="B454" s="688"/>
      <c r="C454" s="688"/>
      <c r="D454" s="690" t="s">
        <v>1427</v>
      </c>
      <c r="E454" s="794" t="s">
        <v>2339</v>
      </c>
      <c r="F454" s="790">
        <v>24295.796010000002</v>
      </c>
    </row>
    <row r="455" spans="1:6" s="1" customFormat="1" ht="36">
      <c r="A455" s="688"/>
      <c r="B455" s="688"/>
      <c r="C455" s="688"/>
      <c r="D455" s="690" t="s">
        <v>1427</v>
      </c>
      <c r="E455" s="792" t="s">
        <v>2333</v>
      </c>
      <c r="F455" s="790">
        <v>222298.22099999999</v>
      </c>
    </row>
    <row r="456" spans="1:6" s="1" customFormat="1" ht="36">
      <c r="A456" s="688"/>
      <c r="B456" s="688"/>
      <c r="C456" s="688"/>
      <c r="D456" s="690" t="s">
        <v>1427</v>
      </c>
      <c r="E456" s="792" t="s">
        <v>2340</v>
      </c>
      <c r="F456" s="790">
        <v>182698.97200000001</v>
      </c>
    </row>
    <row r="457" spans="1:6" ht="36">
      <c r="A457" s="688"/>
      <c r="B457" s="688"/>
      <c r="C457" s="688"/>
      <c r="D457" s="690" t="s">
        <v>1427</v>
      </c>
      <c r="E457" s="792" t="s">
        <v>2341</v>
      </c>
      <c r="F457" s="790">
        <v>4603.6610000000001</v>
      </c>
    </row>
    <row r="458" spans="1:6" ht="36">
      <c r="A458" s="688"/>
      <c r="B458" s="688"/>
      <c r="C458" s="688"/>
      <c r="D458" s="690" t="s">
        <v>1427</v>
      </c>
      <c r="E458" s="792" t="s">
        <v>2342</v>
      </c>
      <c r="F458" s="790">
        <v>2573.7359999999999</v>
      </c>
    </row>
    <row r="459" spans="1:6" ht="36">
      <c r="A459" s="688"/>
      <c r="B459" s="688"/>
      <c r="C459" s="688"/>
      <c r="D459" s="690" t="s">
        <v>1427</v>
      </c>
      <c r="E459" s="792" t="s">
        <v>2343</v>
      </c>
      <c r="F459" s="790">
        <v>3031.2930000000001</v>
      </c>
    </row>
    <row r="460" spans="1:6" ht="36">
      <c r="A460" s="688"/>
      <c r="B460" s="688"/>
      <c r="C460" s="688"/>
      <c r="D460" s="690" t="s">
        <v>1427</v>
      </c>
      <c r="E460" s="792" t="s">
        <v>2344</v>
      </c>
      <c r="F460" s="790">
        <v>10523.734</v>
      </c>
    </row>
    <row r="461" spans="1:6" ht="36">
      <c r="A461" s="688"/>
      <c r="B461" s="688"/>
      <c r="C461" s="688"/>
      <c r="D461" s="690" t="s">
        <v>1427</v>
      </c>
      <c r="E461" s="792" t="s">
        <v>2345</v>
      </c>
      <c r="F461" s="790">
        <v>2287.7649999999999</v>
      </c>
    </row>
    <row r="462" spans="1:6" ht="36">
      <c r="A462" s="688"/>
      <c r="B462" s="688"/>
      <c r="C462" s="688"/>
      <c r="D462" s="690" t="s">
        <v>1427</v>
      </c>
      <c r="E462" s="792" t="s">
        <v>2346</v>
      </c>
      <c r="F462" s="790">
        <v>23770.905010000002</v>
      </c>
    </row>
    <row r="463" spans="1:6" ht="24">
      <c r="A463" s="688"/>
      <c r="B463" s="688"/>
      <c r="C463" s="688"/>
      <c r="D463" s="690" t="s">
        <v>1427</v>
      </c>
      <c r="E463" s="792" t="s">
        <v>2335</v>
      </c>
      <c r="F463" s="790">
        <v>97327</v>
      </c>
    </row>
    <row r="464" spans="1:6" ht="36">
      <c r="A464" s="688"/>
      <c r="B464" s="688"/>
      <c r="C464" s="688"/>
      <c r="D464" s="690" t="s">
        <v>1424</v>
      </c>
      <c r="E464" s="792" t="s">
        <v>2336</v>
      </c>
      <c r="F464" s="790">
        <v>311109</v>
      </c>
    </row>
    <row r="465" spans="1:6" ht="36">
      <c r="A465" s="688"/>
      <c r="B465" s="688"/>
      <c r="C465" s="688"/>
      <c r="D465" s="690" t="s">
        <v>1424</v>
      </c>
      <c r="E465" s="792" t="s">
        <v>2337</v>
      </c>
      <c r="F465" s="790">
        <v>52654</v>
      </c>
    </row>
    <row r="466" spans="1:6" s="799" customFormat="1" ht="60">
      <c r="A466" s="795" t="s">
        <v>1576</v>
      </c>
      <c r="B466" s="795"/>
      <c r="C466" s="795"/>
      <c r="D466" s="796"/>
      <c r="E466" s="797" t="s">
        <v>339</v>
      </c>
      <c r="F466" s="798">
        <v>5776965.5977400001</v>
      </c>
    </row>
    <row r="467" spans="1:6">
      <c r="A467" s="688"/>
      <c r="B467" s="688"/>
      <c r="C467" s="800">
        <v>11</v>
      </c>
      <c r="D467" s="690"/>
      <c r="E467" s="783" t="s">
        <v>325</v>
      </c>
      <c r="F467" s="690">
        <v>904877.31195999996</v>
      </c>
    </row>
    <row r="468" spans="1:6" ht="24">
      <c r="A468" s="688"/>
      <c r="B468" s="688"/>
      <c r="C468" s="800"/>
      <c r="D468" s="690" t="s">
        <v>1426</v>
      </c>
      <c r="E468" s="783" t="s">
        <v>2347</v>
      </c>
      <c r="F468" s="690">
        <v>136474</v>
      </c>
    </row>
    <row r="469" spans="1:6" ht="24">
      <c r="A469" s="688"/>
      <c r="B469" s="688"/>
      <c r="C469" s="800"/>
      <c r="D469" s="690" t="s">
        <v>1424</v>
      </c>
      <c r="E469" s="783" t="s">
        <v>2348</v>
      </c>
      <c r="F469" s="690">
        <v>32101.375</v>
      </c>
    </row>
    <row r="470" spans="1:6" ht="24">
      <c r="A470" s="688"/>
      <c r="B470" s="688"/>
      <c r="C470" s="800"/>
      <c r="D470" s="690" t="s">
        <v>1424</v>
      </c>
      <c r="E470" s="783" t="s">
        <v>2349</v>
      </c>
      <c r="F470" s="690">
        <v>32190</v>
      </c>
    </row>
    <row r="471" spans="1:6" ht="24">
      <c r="A471" s="688"/>
      <c r="B471" s="688"/>
      <c r="C471" s="800"/>
      <c r="D471" s="690" t="s">
        <v>1422</v>
      </c>
      <c r="E471" s="783" t="s">
        <v>2350</v>
      </c>
      <c r="F471" s="690">
        <v>119479</v>
      </c>
    </row>
    <row r="472" spans="1:6" ht="24">
      <c r="A472" s="688"/>
      <c r="B472" s="688"/>
      <c r="C472" s="800"/>
      <c r="D472" s="690" t="s">
        <v>1426</v>
      </c>
      <c r="E472" s="783" t="s">
        <v>2351</v>
      </c>
      <c r="F472" s="690">
        <v>87071</v>
      </c>
    </row>
    <row r="473" spans="1:6" ht="24">
      <c r="A473" s="688"/>
      <c r="B473" s="688"/>
      <c r="C473" s="800"/>
      <c r="D473" s="690" t="s">
        <v>1426</v>
      </c>
      <c r="E473" s="783" t="s">
        <v>2352</v>
      </c>
      <c r="F473" s="690">
        <v>24494.466</v>
      </c>
    </row>
    <row r="474" spans="1:6" ht="24">
      <c r="A474" s="688"/>
      <c r="B474" s="688"/>
      <c r="C474" s="800"/>
      <c r="D474" s="690" t="s">
        <v>1426</v>
      </c>
      <c r="E474" s="783" t="s">
        <v>2353</v>
      </c>
      <c r="F474" s="690">
        <v>38609</v>
      </c>
    </row>
    <row r="475" spans="1:6" ht="24">
      <c r="A475" s="688"/>
      <c r="B475" s="688"/>
      <c r="C475" s="800"/>
      <c r="D475" s="690" t="s">
        <v>1426</v>
      </c>
      <c r="E475" s="783" t="s">
        <v>2354</v>
      </c>
      <c r="F475" s="690">
        <v>8017.6419999999998</v>
      </c>
    </row>
    <row r="476" spans="1:6" ht="24">
      <c r="A476" s="688"/>
      <c r="B476" s="688"/>
      <c r="C476" s="800"/>
      <c r="D476" s="690" t="s">
        <v>1426</v>
      </c>
      <c r="E476" s="783" t="s">
        <v>2355</v>
      </c>
      <c r="F476" s="690">
        <v>12002.60176</v>
      </c>
    </row>
    <row r="477" spans="1:6" ht="24">
      <c r="A477" s="688"/>
      <c r="B477" s="688"/>
      <c r="C477" s="800"/>
      <c r="D477" s="690" t="s">
        <v>1426</v>
      </c>
      <c r="E477" s="783" t="s">
        <v>2356</v>
      </c>
      <c r="F477" s="690">
        <v>19461.400000000001</v>
      </c>
    </row>
    <row r="478" spans="1:6" ht="24">
      <c r="A478" s="688"/>
      <c r="B478" s="688"/>
      <c r="C478" s="800"/>
      <c r="D478" s="690" t="s">
        <v>1426</v>
      </c>
      <c r="E478" s="783" t="s">
        <v>2357</v>
      </c>
      <c r="F478" s="690">
        <v>19851.3851</v>
      </c>
    </row>
    <row r="479" spans="1:6" ht="24">
      <c r="A479" s="688"/>
      <c r="B479" s="688"/>
      <c r="C479" s="800"/>
      <c r="D479" s="690" t="s">
        <v>1426</v>
      </c>
      <c r="E479" s="783" t="s">
        <v>2358</v>
      </c>
      <c r="F479" s="690">
        <v>11201.968000000001</v>
      </c>
    </row>
    <row r="480" spans="1:6">
      <c r="A480" s="688"/>
      <c r="B480" s="688"/>
      <c r="C480" s="800"/>
      <c r="D480" s="690" t="s">
        <v>1425</v>
      </c>
      <c r="E480" s="783" t="s">
        <v>2359</v>
      </c>
      <c r="F480" s="690">
        <v>193894</v>
      </c>
    </row>
    <row r="481" spans="1:6" ht="36">
      <c r="A481" s="688"/>
      <c r="B481" s="688"/>
      <c r="C481" s="800"/>
      <c r="D481" s="690" t="s">
        <v>1425</v>
      </c>
      <c r="E481" s="783" t="s">
        <v>2360</v>
      </c>
      <c r="F481" s="690">
        <v>23950</v>
      </c>
    </row>
    <row r="482" spans="1:6" ht="36">
      <c r="A482" s="688"/>
      <c r="B482" s="688"/>
      <c r="C482" s="800"/>
      <c r="D482" s="690" t="s">
        <v>1425</v>
      </c>
      <c r="E482" s="783" t="s">
        <v>2361</v>
      </c>
      <c r="F482" s="690">
        <v>5762</v>
      </c>
    </row>
    <row r="483" spans="1:6" ht="36">
      <c r="A483" s="688"/>
      <c r="B483" s="688"/>
      <c r="C483" s="800"/>
      <c r="D483" s="690" t="s">
        <v>1425</v>
      </c>
      <c r="E483" s="783" t="s">
        <v>2362</v>
      </c>
      <c r="F483" s="690">
        <v>4185</v>
      </c>
    </row>
    <row r="484" spans="1:6" ht="36">
      <c r="A484" s="688"/>
      <c r="B484" s="688"/>
      <c r="C484" s="800"/>
      <c r="D484" s="690" t="s">
        <v>1425</v>
      </c>
      <c r="E484" s="783" t="s">
        <v>2363</v>
      </c>
      <c r="F484" s="690">
        <v>5184</v>
      </c>
    </row>
    <row r="485" spans="1:6" ht="36">
      <c r="A485" s="688"/>
      <c r="B485" s="688"/>
      <c r="C485" s="800"/>
      <c r="D485" s="690" t="s">
        <v>1425</v>
      </c>
      <c r="E485" s="783" t="s">
        <v>2364</v>
      </c>
      <c r="F485" s="690">
        <v>2744</v>
      </c>
    </row>
    <row r="486" spans="1:6" ht="36">
      <c r="A486" s="688"/>
      <c r="B486" s="688"/>
      <c r="C486" s="800"/>
      <c r="D486" s="690" t="s">
        <v>1425</v>
      </c>
      <c r="E486" s="783" t="s">
        <v>2365</v>
      </c>
      <c r="F486" s="690">
        <v>9659</v>
      </c>
    </row>
    <row r="487" spans="1:6" ht="36">
      <c r="A487" s="688"/>
      <c r="B487" s="688"/>
      <c r="C487" s="800"/>
      <c r="D487" s="690" t="s">
        <v>1425</v>
      </c>
      <c r="E487" s="783" t="s">
        <v>2366</v>
      </c>
      <c r="F487" s="690">
        <v>5902</v>
      </c>
    </row>
    <row r="488" spans="1:6">
      <c r="A488" s="688"/>
      <c r="B488" s="688"/>
      <c r="C488" s="800"/>
      <c r="D488" s="690" t="s">
        <v>1423</v>
      </c>
      <c r="E488" s="783" t="s">
        <v>2367</v>
      </c>
      <c r="F488" s="690">
        <v>113467.6</v>
      </c>
    </row>
    <row r="489" spans="1:6" ht="24">
      <c r="A489" s="688"/>
      <c r="B489" s="688"/>
      <c r="C489" s="800"/>
      <c r="D489" s="690" t="s">
        <v>1427</v>
      </c>
      <c r="E489" s="783" t="s">
        <v>2368</v>
      </c>
      <c r="F489" s="690">
        <v>58600</v>
      </c>
    </row>
    <row r="490" spans="1:6">
      <c r="A490" s="688"/>
      <c r="B490" s="688"/>
      <c r="C490" s="800"/>
      <c r="D490" s="690" t="s">
        <v>1427</v>
      </c>
      <c r="E490" s="783" t="s">
        <v>2369</v>
      </c>
      <c r="F490" s="690"/>
    </row>
    <row r="491" spans="1:6">
      <c r="A491" s="688"/>
      <c r="B491" s="688"/>
      <c r="C491" s="688"/>
      <c r="D491" s="690"/>
      <c r="E491" s="783"/>
      <c r="F491" s="690"/>
    </row>
    <row r="492" spans="1:6">
      <c r="A492" s="688"/>
      <c r="B492" s="688"/>
      <c r="C492" s="688">
        <v>15</v>
      </c>
      <c r="D492" s="690"/>
      <c r="E492" s="783" t="s">
        <v>327</v>
      </c>
      <c r="F492" s="690">
        <v>4872088.2857799996</v>
      </c>
    </row>
    <row r="493" spans="1:6" ht="24">
      <c r="A493" s="688"/>
      <c r="B493" s="688"/>
      <c r="C493" s="688"/>
      <c r="D493" s="690" t="s">
        <v>1426</v>
      </c>
      <c r="E493" s="783" t="s">
        <v>2370</v>
      </c>
      <c r="F493" s="690">
        <v>813505.43819999998</v>
      </c>
    </row>
    <row r="494" spans="1:6" ht="38.25">
      <c r="A494" s="688"/>
      <c r="B494" s="688"/>
      <c r="C494" s="688"/>
      <c r="D494" s="690" t="s">
        <v>1424</v>
      </c>
      <c r="E494" s="801" t="s">
        <v>2371</v>
      </c>
      <c r="F494" s="690">
        <v>167236.34</v>
      </c>
    </row>
    <row r="495" spans="1:6" ht="25.5">
      <c r="A495" s="688"/>
      <c r="B495" s="688"/>
      <c r="C495" s="688"/>
      <c r="D495" s="690" t="s">
        <v>1424</v>
      </c>
      <c r="E495" s="801" t="s">
        <v>2372</v>
      </c>
      <c r="F495" s="690">
        <v>217049.13099999999</v>
      </c>
    </row>
    <row r="496" spans="1:6" ht="25.5">
      <c r="A496" s="688"/>
      <c r="B496" s="688"/>
      <c r="C496" s="688"/>
      <c r="D496" s="690" t="s">
        <v>1422</v>
      </c>
      <c r="E496" s="801" t="s">
        <v>2373</v>
      </c>
      <c r="F496" s="690">
        <v>627115.88</v>
      </c>
    </row>
    <row r="497" spans="1:6" ht="24">
      <c r="A497" s="688"/>
      <c r="B497" s="688"/>
      <c r="C497" s="688"/>
      <c r="D497" s="690" t="s">
        <v>1426</v>
      </c>
      <c r="E497" s="783" t="s">
        <v>2374</v>
      </c>
      <c r="F497" s="690">
        <v>471546.95</v>
      </c>
    </row>
    <row r="498" spans="1:6" ht="24">
      <c r="A498" s="688"/>
      <c r="B498" s="688"/>
      <c r="C498" s="688"/>
      <c r="D498" s="690" t="s">
        <v>1426</v>
      </c>
      <c r="E498" s="783" t="s">
        <v>2375</v>
      </c>
      <c r="F498" s="690">
        <v>172990.13</v>
      </c>
    </row>
    <row r="499" spans="1:6" ht="24">
      <c r="A499" s="688"/>
      <c r="B499" s="688"/>
      <c r="C499" s="688"/>
      <c r="D499" s="690" t="s">
        <v>1426</v>
      </c>
      <c r="E499" s="783" t="s">
        <v>2376</v>
      </c>
      <c r="F499" s="690">
        <v>279163</v>
      </c>
    </row>
    <row r="500" spans="1:6" ht="24">
      <c r="A500" s="688"/>
      <c r="B500" s="688"/>
      <c r="C500" s="688"/>
      <c r="D500" s="690" t="s">
        <v>1426</v>
      </c>
      <c r="E500" s="783" t="s">
        <v>2377</v>
      </c>
      <c r="F500" s="690">
        <v>1601135.25</v>
      </c>
    </row>
    <row r="501" spans="1:6" ht="24">
      <c r="A501" s="688"/>
      <c r="B501" s="688"/>
      <c r="C501" s="688"/>
      <c r="D501" s="690" t="s">
        <v>1426</v>
      </c>
      <c r="E501" s="783" t="s">
        <v>2378</v>
      </c>
      <c r="F501" s="690">
        <v>74401.37</v>
      </c>
    </row>
    <row r="502" spans="1:6" ht="24">
      <c r="A502" s="688"/>
      <c r="B502" s="688"/>
      <c r="C502" s="688"/>
      <c r="D502" s="690" t="s">
        <v>1426</v>
      </c>
      <c r="E502" s="783" t="s">
        <v>2379</v>
      </c>
      <c r="F502" s="690">
        <v>157935.96</v>
      </c>
    </row>
    <row r="503" spans="1:6" ht="24">
      <c r="A503" s="688"/>
      <c r="B503" s="688"/>
      <c r="C503" s="688"/>
      <c r="D503" s="690" t="s">
        <v>1426</v>
      </c>
      <c r="E503" s="783" t="s">
        <v>2380</v>
      </c>
      <c r="F503" s="690">
        <v>125813.77</v>
      </c>
    </row>
    <row r="504" spans="1:6" ht="24">
      <c r="A504" s="688"/>
      <c r="B504" s="688"/>
      <c r="C504" s="688"/>
      <c r="D504" s="690" t="s">
        <v>1426</v>
      </c>
      <c r="E504" s="783" t="s">
        <v>2381</v>
      </c>
      <c r="F504" s="690">
        <v>60976.54</v>
      </c>
    </row>
    <row r="505" spans="1:6">
      <c r="A505" s="688"/>
      <c r="B505" s="688"/>
      <c r="C505" s="688"/>
      <c r="D505" s="690" t="s">
        <v>1425</v>
      </c>
      <c r="E505" s="783" t="s">
        <v>2359</v>
      </c>
      <c r="F505" s="690">
        <v>501315</v>
      </c>
    </row>
    <row r="506" spans="1:6" ht="36">
      <c r="A506" s="688"/>
      <c r="B506" s="688"/>
      <c r="C506" s="688"/>
      <c r="D506" s="690" t="s">
        <v>1425</v>
      </c>
      <c r="E506" s="783" t="s">
        <v>2382</v>
      </c>
      <c r="F506" s="690">
        <v>135388</v>
      </c>
    </row>
    <row r="507" spans="1:6" ht="36">
      <c r="A507" s="688"/>
      <c r="B507" s="688"/>
      <c r="C507" s="688"/>
      <c r="D507" s="690" t="s">
        <v>1425</v>
      </c>
      <c r="E507" s="783" t="s">
        <v>2383</v>
      </c>
      <c r="F507" s="690">
        <v>31141</v>
      </c>
    </row>
    <row r="508" spans="1:6" ht="36">
      <c r="A508" s="688"/>
      <c r="B508" s="688"/>
      <c r="C508" s="688"/>
      <c r="D508" s="690" t="s">
        <v>1425</v>
      </c>
      <c r="E508" s="783" t="s">
        <v>2384</v>
      </c>
      <c r="F508" s="690">
        <v>22686</v>
      </c>
    </row>
    <row r="509" spans="1:6" ht="36">
      <c r="A509" s="688"/>
      <c r="B509" s="688"/>
      <c r="C509" s="688"/>
      <c r="D509" s="690" t="s">
        <v>1425</v>
      </c>
      <c r="E509" s="783" t="s">
        <v>2385</v>
      </c>
      <c r="F509" s="690">
        <v>29665</v>
      </c>
    </row>
    <row r="510" spans="1:6" ht="36">
      <c r="A510" s="688"/>
      <c r="B510" s="688"/>
      <c r="C510" s="688"/>
      <c r="D510" s="690" t="s">
        <v>1425</v>
      </c>
      <c r="E510" s="783" t="s">
        <v>2386</v>
      </c>
      <c r="F510" s="690">
        <v>29021</v>
      </c>
    </row>
    <row r="511" spans="1:6" ht="36">
      <c r="A511" s="688"/>
      <c r="B511" s="688"/>
      <c r="C511" s="688"/>
      <c r="D511" s="690" t="s">
        <v>1425</v>
      </c>
      <c r="E511" s="783" t="s">
        <v>2387</v>
      </c>
      <c r="F511" s="690">
        <v>43321.2</v>
      </c>
    </row>
    <row r="512" spans="1:6" ht="36">
      <c r="A512" s="688"/>
      <c r="B512" s="688"/>
      <c r="C512" s="688"/>
      <c r="D512" s="690" t="s">
        <v>1425</v>
      </c>
      <c r="E512" s="783" t="s">
        <v>2388</v>
      </c>
      <c r="F512" s="690">
        <v>39945</v>
      </c>
    </row>
    <row r="513" spans="1:6">
      <c r="A513" s="688"/>
      <c r="B513" s="688"/>
      <c r="C513" s="688"/>
      <c r="D513" s="690" t="s">
        <v>1423</v>
      </c>
      <c r="E513" s="783" t="s">
        <v>2389</v>
      </c>
      <c r="F513" s="690">
        <v>379202</v>
      </c>
    </row>
    <row r="514" spans="1:6" ht="24">
      <c r="A514" s="688"/>
      <c r="B514" s="688"/>
      <c r="C514" s="688"/>
      <c r="D514" s="690" t="s">
        <v>1427</v>
      </c>
      <c r="E514" s="783" t="s">
        <v>2390</v>
      </c>
      <c r="F514" s="690">
        <v>190379</v>
      </c>
    </row>
    <row r="515" spans="1:6">
      <c r="A515" s="688"/>
      <c r="B515" s="688"/>
      <c r="C515" s="688"/>
      <c r="D515" s="690" t="s">
        <v>1427</v>
      </c>
      <c r="E515" s="783" t="s">
        <v>2391</v>
      </c>
      <c r="F515" s="690">
        <v>0</v>
      </c>
    </row>
    <row r="516" spans="1:6">
      <c r="A516" s="688"/>
      <c r="B516" s="688"/>
      <c r="C516" s="688"/>
      <c r="D516" s="690" t="s">
        <v>1427</v>
      </c>
      <c r="E516" s="783" t="s">
        <v>2392</v>
      </c>
      <c r="F516" s="690">
        <v>118098</v>
      </c>
    </row>
    <row r="517" spans="1:6">
      <c r="A517" s="688"/>
      <c r="B517" s="688"/>
      <c r="C517" s="800"/>
      <c r="D517" s="690"/>
      <c r="E517" s="783"/>
      <c r="F517" s="690"/>
    </row>
    <row r="518" spans="1:6" s="687" customFormat="1">
      <c r="A518" s="683" t="s">
        <v>1745</v>
      </c>
      <c r="B518" s="683"/>
      <c r="C518" s="683">
        <v>11</v>
      </c>
      <c r="D518" s="698"/>
      <c r="E518" s="683"/>
      <c r="F518" s="698"/>
    </row>
    <row r="519" spans="1:6">
      <c r="A519" s="688"/>
      <c r="B519" s="688"/>
      <c r="C519" s="688"/>
      <c r="D519" s="690" t="s">
        <v>1425</v>
      </c>
      <c r="E519" s="802" t="s">
        <v>1411</v>
      </c>
      <c r="F519" s="803">
        <v>33522</v>
      </c>
    </row>
    <row r="520" spans="1:6" ht="24">
      <c r="A520" s="688"/>
      <c r="B520" s="688"/>
      <c r="C520" s="688"/>
      <c r="D520" s="690" t="s">
        <v>1426</v>
      </c>
      <c r="E520" s="802" t="s">
        <v>2393</v>
      </c>
      <c r="F520" s="803">
        <v>49783</v>
      </c>
    </row>
    <row r="521" spans="1:6" ht="24">
      <c r="A521" s="688"/>
      <c r="B521" s="688"/>
      <c r="C521" s="688"/>
      <c r="D521" s="690" t="s">
        <v>1422</v>
      </c>
      <c r="E521" s="802" t="s">
        <v>2394</v>
      </c>
      <c r="F521" s="803">
        <v>33892</v>
      </c>
    </row>
    <row r="522" spans="1:6" ht="24">
      <c r="A522" s="688"/>
      <c r="B522" s="688"/>
      <c r="C522" s="688"/>
      <c r="D522" s="690" t="s">
        <v>1424</v>
      </c>
      <c r="E522" s="802" t="s">
        <v>2395</v>
      </c>
      <c r="F522" s="803">
        <v>9699</v>
      </c>
    </row>
    <row r="523" spans="1:6">
      <c r="A523" s="688"/>
      <c r="B523" s="688"/>
      <c r="C523" s="688"/>
      <c r="D523" s="690" t="s">
        <v>1427</v>
      </c>
      <c r="E523" s="804" t="s">
        <v>2396</v>
      </c>
      <c r="F523" s="803">
        <v>52944.3</v>
      </c>
    </row>
    <row r="524" spans="1:6">
      <c r="A524" s="688"/>
      <c r="B524" s="688"/>
      <c r="C524" s="688"/>
      <c r="D524" s="690" t="s">
        <v>1427</v>
      </c>
      <c r="E524" s="802" t="s">
        <v>2397</v>
      </c>
      <c r="F524" s="803">
        <v>25085.4</v>
      </c>
    </row>
    <row r="525" spans="1:6" ht="24">
      <c r="A525" s="688"/>
      <c r="B525" s="688"/>
      <c r="C525" s="688"/>
      <c r="D525" s="690" t="s">
        <v>1259</v>
      </c>
      <c r="E525" s="805" t="s">
        <v>2398</v>
      </c>
      <c r="F525" s="803">
        <v>19873</v>
      </c>
    </row>
    <row r="526" spans="1:6">
      <c r="A526" s="688"/>
      <c r="B526" s="688"/>
      <c r="C526" s="688"/>
      <c r="D526" s="690" t="s">
        <v>1427</v>
      </c>
      <c r="E526" s="804" t="s">
        <v>1417</v>
      </c>
      <c r="F526" s="803">
        <v>18576</v>
      </c>
    </row>
    <row r="527" spans="1:6">
      <c r="A527" s="688"/>
      <c r="B527" s="688"/>
      <c r="C527" s="688"/>
      <c r="D527" s="690" t="s">
        <v>1427</v>
      </c>
      <c r="E527" s="806" t="s">
        <v>2399</v>
      </c>
      <c r="F527" s="803">
        <v>8593.7999999999993</v>
      </c>
    </row>
    <row r="528" spans="1:6">
      <c r="A528" s="688"/>
      <c r="B528" s="688"/>
      <c r="C528" s="688"/>
      <c r="D528" s="690" t="s">
        <v>1427</v>
      </c>
      <c r="E528" s="802" t="s">
        <v>2400</v>
      </c>
      <c r="F528" s="803">
        <v>8022.9</v>
      </c>
    </row>
    <row r="529" spans="1:6">
      <c r="A529" s="688"/>
      <c r="B529" s="688"/>
      <c r="C529" s="688"/>
      <c r="D529" s="690" t="s">
        <v>1427</v>
      </c>
      <c r="E529" s="802" t="s">
        <v>2401</v>
      </c>
      <c r="F529" s="803">
        <v>10195.6</v>
      </c>
    </row>
    <row r="530" spans="1:6" ht="24">
      <c r="A530" s="688"/>
      <c r="B530" s="688"/>
      <c r="C530" s="688"/>
      <c r="D530" s="690" t="s">
        <v>1427</v>
      </c>
      <c r="E530" s="802" t="s">
        <v>2402</v>
      </c>
      <c r="F530" s="803">
        <v>6071</v>
      </c>
    </row>
    <row r="531" spans="1:6">
      <c r="A531" s="688"/>
      <c r="B531" s="688"/>
      <c r="C531" s="688"/>
      <c r="D531" s="690" t="s">
        <v>1427</v>
      </c>
      <c r="E531" s="802" t="s">
        <v>2403</v>
      </c>
      <c r="F531" s="803">
        <v>1744</v>
      </c>
    </row>
    <row r="532" spans="1:6" ht="24">
      <c r="A532" s="688"/>
      <c r="B532" s="688"/>
      <c r="C532" s="688"/>
      <c r="D532" s="690" t="s">
        <v>1427</v>
      </c>
      <c r="E532" s="802" t="s">
        <v>2404</v>
      </c>
      <c r="F532" s="803">
        <v>8272.4</v>
      </c>
    </row>
    <row r="533" spans="1:6" ht="24">
      <c r="A533" s="688"/>
      <c r="B533" s="688"/>
      <c r="C533" s="688"/>
      <c r="D533" s="690" t="s">
        <v>1427</v>
      </c>
      <c r="E533" s="802" t="s">
        <v>1406</v>
      </c>
      <c r="F533" s="803">
        <v>2553.6</v>
      </c>
    </row>
    <row r="534" spans="1:6" ht="24">
      <c r="A534" s="688"/>
      <c r="B534" s="688"/>
      <c r="C534" s="688"/>
      <c r="D534" s="690" t="s">
        <v>1427</v>
      </c>
      <c r="E534" s="806" t="s">
        <v>2405</v>
      </c>
      <c r="F534" s="803">
        <v>1487.5</v>
      </c>
    </row>
    <row r="535" spans="1:6">
      <c r="A535" s="688"/>
      <c r="B535" s="688"/>
      <c r="C535" s="688"/>
      <c r="D535" s="690" t="s">
        <v>1259</v>
      </c>
      <c r="E535" s="806" t="s">
        <v>2406</v>
      </c>
      <c r="F535" s="807">
        <v>330</v>
      </c>
    </row>
    <row r="536" spans="1:6">
      <c r="A536" s="688"/>
      <c r="B536" s="688"/>
      <c r="C536" s="688">
        <v>15</v>
      </c>
      <c r="D536" s="690" t="s">
        <v>1425</v>
      </c>
      <c r="E536" s="802" t="s">
        <v>1411</v>
      </c>
      <c r="F536" s="803">
        <v>314856</v>
      </c>
    </row>
    <row r="537" spans="1:6">
      <c r="A537" s="688"/>
      <c r="B537" s="688"/>
      <c r="C537" s="688"/>
      <c r="D537" s="690" t="s">
        <v>1423</v>
      </c>
      <c r="E537" s="808" t="s">
        <v>1329</v>
      </c>
      <c r="F537" s="803">
        <v>337276</v>
      </c>
    </row>
    <row r="538" spans="1:6">
      <c r="A538" s="688"/>
      <c r="B538" s="688"/>
      <c r="C538" s="688"/>
      <c r="D538" s="690" t="s">
        <v>1427</v>
      </c>
      <c r="E538" s="723" t="s">
        <v>2407</v>
      </c>
      <c r="F538" s="803">
        <v>174145</v>
      </c>
    </row>
    <row r="539" spans="1:6">
      <c r="A539" s="688"/>
      <c r="B539" s="688"/>
      <c r="C539" s="688"/>
      <c r="D539" s="690" t="s">
        <v>1427</v>
      </c>
      <c r="E539" s="723" t="s">
        <v>1420</v>
      </c>
      <c r="F539" s="803">
        <v>25945</v>
      </c>
    </row>
    <row r="540" spans="1:6" ht="24">
      <c r="A540" s="688"/>
      <c r="B540" s="688"/>
      <c r="C540" s="688"/>
      <c r="D540" s="690" t="s">
        <v>1426</v>
      </c>
      <c r="E540" s="809" t="s">
        <v>2393</v>
      </c>
      <c r="F540" s="803">
        <v>506459</v>
      </c>
    </row>
    <row r="541" spans="1:6" ht="24">
      <c r="A541" s="688"/>
      <c r="B541" s="688"/>
      <c r="C541" s="688"/>
      <c r="D541" s="690" t="s">
        <v>1422</v>
      </c>
      <c r="E541" s="808" t="s">
        <v>2394</v>
      </c>
      <c r="F541" s="803">
        <v>253245</v>
      </c>
    </row>
    <row r="542" spans="1:6" ht="24">
      <c r="A542" s="688"/>
      <c r="B542" s="688"/>
      <c r="C542" s="688"/>
      <c r="D542" s="690" t="s">
        <v>1424</v>
      </c>
      <c r="E542" s="802" t="s">
        <v>2395</v>
      </c>
      <c r="F542" s="803">
        <v>73341</v>
      </c>
    </row>
    <row r="543" spans="1:6">
      <c r="A543" s="688"/>
      <c r="B543" s="688"/>
      <c r="C543" s="688"/>
      <c r="D543" s="690" t="s">
        <v>1427</v>
      </c>
      <c r="E543" s="804" t="s">
        <v>2396</v>
      </c>
      <c r="F543" s="803">
        <v>9750</v>
      </c>
    </row>
    <row r="544" spans="1:6">
      <c r="A544" s="688"/>
      <c r="B544" s="688"/>
      <c r="C544" s="688"/>
      <c r="D544" s="690" t="s">
        <v>1427</v>
      </c>
      <c r="E544" s="802" t="s">
        <v>2397</v>
      </c>
      <c r="F544" s="803">
        <v>13007</v>
      </c>
    </row>
    <row r="545" spans="1:8" ht="24">
      <c r="A545" s="688"/>
      <c r="B545" s="688"/>
      <c r="C545" s="688"/>
      <c r="D545" s="690" t="s">
        <v>1259</v>
      </c>
      <c r="E545" s="805" t="s">
        <v>2398</v>
      </c>
      <c r="F545" s="803">
        <v>206820</v>
      </c>
    </row>
    <row r="546" spans="1:8">
      <c r="A546" s="688"/>
      <c r="B546" s="688"/>
      <c r="C546" s="688"/>
      <c r="D546" s="690" t="s">
        <v>1427</v>
      </c>
      <c r="E546" s="804" t="s">
        <v>1417</v>
      </c>
      <c r="F546" s="803">
        <v>102704</v>
      </c>
    </row>
    <row r="547" spans="1:8">
      <c r="A547" s="688"/>
      <c r="B547" s="688"/>
      <c r="C547" s="688"/>
      <c r="D547" s="690" t="s">
        <v>1427</v>
      </c>
      <c r="E547" s="806" t="s">
        <v>2399</v>
      </c>
      <c r="F547" s="803">
        <v>3806</v>
      </c>
    </row>
    <row r="548" spans="1:8">
      <c r="A548" s="688"/>
      <c r="B548" s="688"/>
      <c r="C548" s="688"/>
      <c r="D548" s="690" t="s">
        <v>1427</v>
      </c>
      <c r="E548" s="802" t="s">
        <v>2400</v>
      </c>
      <c r="F548" s="803">
        <v>4759</v>
      </c>
    </row>
    <row r="549" spans="1:8" ht="24">
      <c r="A549" s="688"/>
      <c r="B549" s="688"/>
      <c r="C549" s="688"/>
      <c r="D549" s="690" t="s">
        <v>1427</v>
      </c>
      <c r="E549" s="808" t="s">
        <v>1406</v>
      </c>
      <c r="F549" s="803">
        <v>43465</v>
      </c>
    </row>
    <row r="550" spans="1:8" ht="24">
      <c r="A550" s="688"/>
      <c r="B550" s="688"/>
      <c r="C550" s="688"/>
      <c r="D550" s="690" t="s">
        <v>1427</v>
      </c>
      <c r="E550" s="808" t="s">
        <v>1421</v>
      </c>
      <c r="F550" s="803">
        <v>65744</v>
      </c>
      <c r="H550" s="1"/>
    </row>
    <row r="551" spans="1:8" ht="24">
      <c r="A551" s="688"/>
      <c r="B551" s="688"/>
      <c r="C551" s="688"/>
      <c r="D551" s="690" t="s">
        <v>1427</v>
      </c>
      <c r="E551" s="808" t="s">
        <v>2402</v>
      </c>
      <c r="F551" s="803">
        <v>38794</v>
      </c>
      <c r="H551" s="1"/>
    </row>
    <row r="552" spans="1:8">
      <c r="A552" s="688"/>
      <c r="B552" s="688"/>
      <c r="C552" s="688"/>
      <c r="D552" s="690" t="s">
        <v>1427</v>
      </c>
      <c r="E552" s="808" t="s">
        <v>2401</v>
      </c>
      <c r="F552" s="803">
        <v>45188</v>
      </c>
      <c r="H552" s="1"/>
    </row>
    <row r="553" spans="1:8" ht="24">
      <c r="A553" s="688"/>
      <c r="B553" s="688"/>
      <c r="C553" s="688"/>
      <c r="D553" s="690" t="s">
        <v>1427</v>
      </c>
      <c r="E553" s="808" t="s">
        <v>2404</v>
      </c>
      <c r="F553" s="803">
        <v>55695</v>
      </c>
      <c r="H553" s="1"/>
    </row>
    <row r="554" spans="1:8">
      <c r="A554" s="688"/>
      <c r="B554" s="688"/>
      <c r="C554" s="688"/>
      <c r="D554" s="690" t="s">
        <v>1427</v>
      </c>
      <c r="E554" s="808" t="s">
        <v>1415</v>
      </c>
      <c r="F554" s="803">
        <v>20476</v>
      </c>
      <c r="H554" s="1"/>
    </row>
    <row r="555" spans="1:8" ht="24">
      <c r="A555" s="688"/>
      <c r="B555" s="688"/>
      <c r="C555" s="688"/>
      <c r="D555" s="690" t="s">
        <v>1427</v>
      </c>
      <c r="E555" s="808" t="s">
        <v>1407</v>
      </c>
      <c r="F555" s="803">
        <v>55472</v>
      </c>
      <c r="H555" s="1"/>
    </row>
    <row r="556" spans="1:8">
      <c r="A556" s="688"/>
      <c r="B556" s="688"/>
      <c r="C556" s="688"/>
      <c r="D556" s="690" t="s">
        <v>1259</v>
      </c>
      <c r="E556" s="806" t="s">
        <v>2406</v>
      </c>
      <c r="F556" s="803">
        <v>6052.0429999999997</v>
      </c>
      <c r="H556" s="1"/>
    </row>
    <row r="557" spans="1:8">
      <c r="A557" s="688"/>
      <c r="B557" s="688"/>
      <c r="C557" s="688"/>
      <c r="D557" s="690"/>
      <c r="E557" s="810"/>
      <c r="F557" s="811"/>
    </row>
    <row r="558" spans="1:8" s="687" customFormat="1">
      <c r="A558" s="683" t="s">
        <v>647</v>
      </c>
      <c r="B558" s="683"/>
      <c r="C558" s="683">
        <v>15</v>
      </c>
      <c r="D558" s="698" t="s">
        <v>1422</v>
      </c>
      <c r="E558" s="812" t="s">
        <v>1746</v>
      </c>
      <c r="F558" s="813">
        <v>1034918</v>
      </c>
    </row>
    <row r="559" spans="1:8">
      <c r="A559" s="688"/>
      <c r="B559" s="688"/>
      <c r="C559" s="688"/>
      <c r="D559" s="690" t="s">
        <v>1427</v>
      </c>
      <c r="E559" s="814" t="s">
        <v>1747</v>
      </c>
      <c r="F559" s="690">
        <v>223680</v>
      </c>
    </row>
    <row r="560" spans="1:8">
      <c r="A560" s="688"/>
      <c r="B560" s="688"/>
      <c r="C560" s="688"/>
      <c r="D560" s="690" t="s">
        <v>1424</v>
      </c>
      <c r="E560" s="814" t="s">
        <v>1748</v>
      </c>
      <c r="F560" s="815">
        <f>281058-1680.7-0.5</f>
        <v>279376.8</v>
      </c>
    </row>
    <row r="561" spans="1:6">
      <c r="A561" s="688"/>
      <c r="B561" s="688"/>
      <c r="C561" s="688"/>
      <c r="D561" s="690" t="s">
        <v>1426</v>
      </c>
      <c r="E561" s="814" t="s">
        <v>1749</v>
      </c>
      <c r="F561" s="816">
        <v>1631641.1</v>
      </c>
    </row>
    <row r="562" spans="1:6">
      <c r="A562" s="688"/>
      <c r="B562" s="688"/>
      <c r="C562" s="688"/>
      <c r="D562" s="690" t="s">
        <v>1425</v>
      </c>
      <c r="E562" s="814" t="s">
        <v>1750</v>
      </c>
      <c r="F562" s="817">
        <v>561821</v>
      </c>
    </row>
    <row r="563" spans="1:6">
      <c r="A563" s="688"/>
      <c r="B563" s="688"/>
      <c r="C563" s="688"/>
      <c r="D563" s="690" t="s">
        <v>1423</v>
      </c>
      <c r="E563" s="814" t="s">
        <v>1757</v>
      </c>
      <c r="F563" s="818">
        <v>440897</v>
      </c>
    </row>
    <row r="564" spans="1:6">
      <c r="A564" s="688"/>
      <c r="B564" s="688"/>
      <c r="C564" s="688"/>
      <c r="D564" s="690" t="s">
        <v>1427</v>
      </c>
      <c r="E564" s="814" t="s">
        <v>1751</v>
      </c>
      <c r="F564" s="815">
        <v>354734.5</v>
      </c>
    </row>
    <row r="565" spans="1:6">
      <c r="A565" s="688"/>
      <c r="B565" s="688"/>
      <c r="C565" s="688"/>
      <c r="D565" s="690" t="s">
        <v>1259</v>
      </c>
      <c r="E565" s="814" t="s">
        <v>1759</v>
      </c>
      <c r="F565" s="818">
        <v>271838</v>
      </c>
    </row>
    <row r="566" spans="1:6">
      <c r="A566" s="688"/>
      <c r="B566" s="688"/>
      <c r="C566" s="688"/>
      <c r="D566" s="690" t="s">
        <v>1427</v>
      </c>
      <c r="E566" s="814" t="s">
        <v>1760</v>
      </c>
      <c r="F566" s="818">
        <v>56006</v>
      </c>
    </row>
    <row r="567" spans="1:6">
      <c r="A567" s="688"/>
      <c r="B567" s="688"/>
      <c r="C567" s="688"/>
      <c r="D567" s="690" t="s">
        <v>1259</v>
      </c>
      <c r="E567" s="814" t="s">
        <v>1753</v>
      </c>
      <c r="F567" s="690">
        <v>130964</v>
      </c>
    </row>
    <row r="568" spans="1:6">
      <c r="A568" s="688"/>
      <c r="B568" s="688"/>
      <c r="C568" s="688"/>
      <c r="D568" s="690" t="s">
        <v>1427</v>
      </c>
      <c r="E568" s="814" t="s">
        <v>1762</v>
      </c>
      <c r="F568" s="818">
        <v>48121</v>
      </c>
    </row>
    <row r="569" spans="1:6">
      <c r="A569" s="688"/>
      <c r="B569" s="688"/>
      <c r="C569" s="688"/>
      <c r="D569" s="690" t="s">
        <v>1427</v>
      </c>
      <c r="E569" s="814" t="s">
        <v>1763</v>
      </c>
      <c r="F569" s="816">
        <v>6680.07</v>
      </c>
    </row>
    <row r="570" spans="1:6">
      <c r="A570" s="688"/>
      <c r="B570" s="688"/>
      <c r="C570" s="688"/>
      <c r="D570" s="690" t="s">
        <v>1427</v>
      </c>
      <c r="E570" s="814" t="s">
        <v>1764</v>
      </c>
      <c r="F570" s="816">
        <v>11494.504999999999</v>
      </c>
    </row>
    <row r="571" spans="1:6">
      <c r="A571" s="688"/>
      <c r="B571" s="688"/>
      <c r="C571" s="688"/>
      <c r="D571" s="690" t="s">
        <v>1427</v>
      </c>
      <c r="E571" s="814" t="s">
        <v>1765</v>
      </c>
      <c r="F571" s="816">
        <v>7446.9470000000001</v>
      </c>
    </row>
    <row r="572" spans="1:6">
      <c r="A572" s="688"/>
      <c r="B572" s="688"/>
      <c r="C572" s="688"/>
      <c r="D572" s="690" t="s">
        <v>1427</v>
      </c>
      <c r="E572" s="814" t="s">
        <v>1766</v>
      </c>
      <c r="F572" s="690">
        <v>9573.0540000000001</v>
      </c>
    </row>
    <row r="573" spans="1:6">
      <c r="A573" s="688"/>
      <c r="B573" s="688"/>
      <c r="C573" s="688"/>
      <c r="D573" s="690" t="s">
        <v>1427</v>
      </c>
      <c r="E573" s="814" t="s">
        <v>1767</v>
      </c>
      <c r="F573" s="816">
        <v>8620.8649999999998</v>
      </c>
    </row>
    <row r="574" spans="1:6">
      <c r="A574" s="688"/>
      <c r="B574" s="688"/>
      <c r="C574" s="688"/>
      <c r="D574" s="690" t="s">
        <v>1427</v>
      </c>
      <c r="E574" s="814" t="s">
        <v>1768</v>
      </c>
      <c r="F574" s="816">
        <v>5844.6059999999998</v>
      </c>
    </row>
    <row r="575" spans="1:6">
      <c r="A575" s="688"/>
      <c r="B575" s="688"/>
      <c r="C575" s="688"/>
      <c r="D575" s="690" t="s">
        <v>1427</v>
      </c>
      <c r="E575" s="814" t="s">
        <v>1754</v>
      </c>
      <c r="F575" s="690">
        <v>19734.922999999999</v>
      </c>
    </row>
    <row r="576" spans="1:6">
      <c r="A576" s="688"/>
      <c r="B576" s="688"/>
      <c r="C576" s="688"/>
      <c r="D576" s="690" t="s">
        <v>1427</v>
      </c>
      <c r="E576" s="814" t="s">
        <v>2408</v>
      </c>
      <c r="F576" s="816">
        <v>1050.0129999999999</v>
      </c>
    </row>
    <row r="577" spans="1:8">
      <c r="A577" s="688"/>
      <c r="B577" s="688"/>
      <c r="C577" s="688"/>
      <c r="D577" s="690" t="s">
        <v>1427</v>
      </c>
      <c r="E577" s="814" t="s">
        <v>2409</v>
      </c>
      <c r="F577" s="816">
        <v>2194.4349999999999</v>
      </c>
    </row>
    <row r="578" spans="1:8">
      <c r="A578" s="688"/>
      <c r="B578" s="688"/>
      <c r="C578" s="688"/>
      <c r="D578" s="690" t="s">
        <v>1427</v>
      </c>
      <c r="E578" s="814" t="s">
        <v>2410</v>
      </c>
      <c r="F578" s="816">
        <v>4248.482</v>
      </c>
    </row>
    <row r="579" spans="1:8">
      <c r="A579" s="688"/>
      <c r="B579" s="688"/>
      <c r="C579" s="688"/>
      <c r="D579" s="690"/>
      <c r="E579" s="819"/>
      <c r="F579" s="820"/>
      <c r="H579" s="1"/>
    </row>
    <row r="580" spans="1:8" s="826" customFormat="1" ht="63.75">
      <c r="A580" s="821" t="s">
        <v>1478</v>
      </c>
      <c r="B580" s="821"/>
      <c r="C580" s="822"/>
      <c r="D580" s="823"/>
      <c r="E580" s="824" t="s">
        <v>339</v>
      </c>
      <c r="F580" s="825">
        <v>9479331.5</v>
      </c>
    </row>
    <row r="581" spans="1:8" ht="21" customHeight="1">
      <c r="A581" s="688"/>
      <c r="B581" s="688"/>
      <c r="C581" s="827" t="s">
        <v>2411</v>
      </c>
      <c r="D581" s="828"/>
      <c r="E581" s="829" t="s">
        <v>325</v>
      </c>
      <c r="F581" s="803">
        <v>1251976.7</v>
      </c>
      <c r="H581" s="1"/>
    </row>
    <row r="582" spans="1:8" ht="21" customHeight="1">
      <c r="A582" s="688"/>
      <c r="B582" s="688"/>
      <c r="C582" s="827"/>
      <c r="D582" s="828" t="s">
        <v>1425</v>
      </c>
      <c r="E582" s="830" t="s">
        <v>2412</v>
      </c>
      <c r="F582" s="803">
        <v>3223</v>
      </c>
      <c r="H582" s="1"/>
    </row>
    <row r="583" spans="1:8" ht="21" customHeight="1">
      <c r="A583" s="688"/>
      <c r="B583" s="688"/>
      <c r="C583" s="827"/>
      <c r="D583" s="828" t="s">
        <v>1425</v>
      </c>
      <c r="E583" s="830" t="s">
        <v>2413</v>
      </c>
      <c r="F583" s="803">
        <v>3834</v>
      </c>
      <c r="H583" s="1"/>
    </row>
    <row r="584" spans="1:8" ht="21" customHeight="1">
      <c r="A584" s="688"/>
      <c r="B584" s="688"/>
      <c r="C584" s="827"/>
      <c r="D584" s="828" t="s">
        <v>1425</v>
      </c>
      <c r="E584" s="830" t="s">
        <v>2414</v>
      </c>
      <c r="F584" s="803">
        <v>8118</v>
      </c>
      <c r="H584" s="1"/>
    </row>
    <row r="585" spans="1:8" ht="21" customHeight="1">
      <c r="A585" s="688"/>
      <c r="B585" s="688"/>
      <c r="C585" s="827"/>
      <c r="D585" s="828" t="s">
        <v>1425</v>
      </c>
      <c r="E585" s="830" t="s">
        <v>2415</v>
      </c>
      <c r="F585" s="803">
        <v>3830</v>
      </c>
      <c r="H585" s="1"/>
    </row>
    <row r="586" spans="1:8" ht="21" customHeight="1">
      <c r="A586" s="688"/>
      <c r="B586" s="688"/>
      <c r="C586" s="827"/>
      <c r="D586" s="828" t="s">
        <v>1425</v>
      </c>
      <c r="E586" s="830" t="s">
        <v>2416</v>
      </c>
      <c r="F586" s="803">
        <v>3955</v>
      </c>
      <c r="H586" s="1"/>
    </row>
    <row r="587" spans="1:8" ht="21" customHeight="1">
      <c r="A587" s="688"/>
      <c r="B587" s="688"/>
      <c r="C587" s="827"/>
      <c r="D587" s="828" t="s">
        <v>1425</v>
      </c>
      <c r="E587" s="830" t="s">
        <v>2417</v>
      </c>
      <c r="F587" s="803">
        <v>5520</v>
      </c>
      <c r="H587" s="1"/>
    </row>
    <row r="588" spans="1:8" ht="21" customHeight="1">
      <c r="A588" s="688"/>
      <c r="B588" s="688"/>
      <c r="C588" s="827"/>
      <c r="D588" s="828" t="s">
        <v>1425</v>
      </c>
      <c r="E588" s="830" t="s">
        <v>2418</v>
      </c>
      <c r="F588" s="803">
        <v>3627</v>
      </c>
      <c r="H588" s="1"/>
    </row>
    <row r="589" spans="1:8" ht="21" customHeight="1">
      <c r="A589" s="688"/>
      <c r="B589" s="688"/>
      <c r="C589" s="827"/>
      <c r="D589" s="828" t="s">
        <v>1425</v>
      </c>
      <c r="E589" s="830" t="s">
        <v>2419</v>
      </c>
      <c r="F589" s="803">
        <v>13522</v>
      </c>
      <c r="H589" s="1"/>
    </row>
    <row r="590" spans="1:8" ht="21" customHeight="1">
      <c r="A590" s="688"/>
      <c r="B590" s="688"/>
      <c r="C590" s="827"/>
      <c r="D590" s="828" t="s">
        <v>1425</v>
      </c>
      <c r="E590" s="830" t="s">
        <v>2420</v>
      </c>
      <c r="F590" s="803">
        <v>3611</v>
      </c>
      <c r="H590" s="1"/>
    </row>
    <row r="591" spans="1:8" ht="21" customHeight="1">
      <c r="A591" s="688"/>
      <c r="B591" s="688"/>
      <c r="C591" s="827"/>
      <c r="D591" s="828" t="s">
        <v>1425</v>
      </c>
      <c r="E591" s="830" t="s">
        <v>2421</v>
      </c>
      <c r="F591" s="803">
        <v>9043.1</v>
      </c>
      <c r="H591" s="1"/>
    </row>
    <row r="592" spans="1:8" ht="21" customHeight="1">
      <c r="A592" s="688"/>
      <c r="B592" s="688"/>
      <c r="C592" s="827"/>
      <c r="D592" s="828" t="s">
        <v>1425</v>
      </c>
      <c r="E592" s="830" t="s">
        <v>2422</v>
      </c>
      <c r="F592" s="803">
        <v>10671</v>
      </c>
      <c r="H592" s="1"/>
    </row>
    <row r="593" spans="1:8" ht="21" customHeight="1">
      <c r="A593" s="688"/>
      <c r="B593" s="688"/>
      <c r="C593" s="827"/>
      <c r="D593" s="828" t="s">
        <v>1425</v>
      </c>
      <c r="E593" s="830" t="s">
        <v>2423</v>
      </c>
      <c r="F593" s="803">
        <v>2260</v>
      </c>
      <c r="H593" s="1"/>
    </row>
    <row r="594" spans="1:8" ht="21" customHeight="1">
      <c r="A594" s="688"/>
      <c r="B594" s="688"/>
      <c r="C594" s="827"/>
      <c r="D594" s="828" t="s">
        <v>1425</v>
      </c>
      <c r="E594" s="830" t="s">
        <v>2424</v>
      </c>
      <c r="F594" s="803">
        <v>3745</v>
      </c>
      <c r="H594" s="1"/>
    </row>
    <row r="595" spans="1:8" ht="21" customHeight="1">
      <c r="A595" s="688"/>
      <c r="B595" s="688"/>
      <c r="C595" s="827"/>
      <c r="D595" s="828" t="s">
        <v>1425</v>
      </c>
      <c r="E595" s="830" t="s">
        <v>2425</v>
      </c>
      <c r="F595" s="803">
        <v>11727</v>
      </c>
      <c r="H595" s="1"/>
    </row>
    <row r="596" spans="1:8" ht="21" customHeight="1">
      <c r="A596" s="688"/>
      <c r="B596" s="688"/>
      <c r="C596" s="827"/>
      <c r="D596" s="828" t="s">
        <v>1425</v>
      </c>
      <c r="E596" s="830" t="s">
        <v>2426</v>
      </c>
      <c r="F596" s="803">
        <v>3764</v>
      </c>
      <c r="H596" s="1"/>
    </row>
    <row r="597" spans="1:8">
      <c r="A597" s="688"/>
      <c r="B597" s="688"/>
      <c r="C597" s="827"/>
      <c r="D597" s="828" t="s">
        <v>1425</v>
      </c>
      <c r="E597" s="831" t="s">
        <v>2427</v>
      </c>
      <c r="F597" s="803">
        <v>8166</v>
      </c>
    </row>
    <row r="598" spans="1:8">
      <c r="A598" s="688"/>
      <c r="B598" s="688"/>
      <c r="C598" s="827"/>
      <c r="D598" s="828" t="s">
        <v>1425</v>
      </c>
      <c r="E598" s="831" t="s">
        <v>2428</v>
      </c>
      <c r="F598" s="803">
        <v>5737</v>
      </c>
    </row>
    <row r="599" spans="1:8">
      <c r="A599" s="688"/>
      <c r="B599" s="688"/>
      <c r="C599" s="827"/>
      <c r="D599" s="828" t="s">
        <v>1425</v>
      </c>
      <c r="E599" s="831" t="s">
        <v>2429</v>
      </c>
      <c r="F599" s="803">
        <v>13608</v>
      </c>
    </row>
    <row r="600" spans="1:8">
      <c r="A600" s="688"/>
      <c r="B600" s="688"/>
      <c r="C600" s="827" t="s">
        <v>326</v>
      </c>
      <c r="D600" s="828"/>
      <c r="E600" s="829" t="s">
        <v>327</v>
      </c>
      <c r="F600" s="803"/>
    </row>
    <row r="601" spans="1:8">
      <c r="A601" s="688"/>
      <c r="B601" s="688"/>
      <c r="C601" s="827"/>
      <c r="D601" s="828" t="s">
        <v>1425</v>
      </c>
      <c r="E601" s="830" t="s">
        <v>2412</v>
      </c>
      <c r="F601" s="803">
        <v>20837.900000000001</v>
      </c>
    </row>
    <row r="602" spans="1:8">
      <c r="A602" s="688"/>
      <c r="B602" s="688"/>
      <c r="C602" s="827"/>
      <c r="D602" s="828" t="s">
        <v>1425</v>
      </c>
      <c r="E602" s="830" t="s">
        <v>2430</v>
      </c>
      <c r="F602" s="803">
        <v>50300.3</v>
      </c>
    </row>
    <row r="603" spans="1:8">
      <c r="A603" s="688"/>
      <c r="B603" s="688"/>
      <c r="C603" s="827"/>
      <c r="D603" s="828" t="s">
        <v>1425</v>
      </c>
      <c r="E603" s="830" t="s">
        <v>2413</v>
      </c>
      <c r="F603" s="803">
        <v>38336.300000000003</v>
      </c>
    </row>
    <row r="604" spans="1:8">
      <c r="A604" s="688"/>
      <c r="B604" s="688"/>
      <c r="C604" s="827"/>
      <c r="D604" s="828" t="s">
        <v>1425</v>
      </c>
      <c r="E604" s="830" t="s">
        <v>2414</v>
      </c>
      <c r="F604" s="803">
        <v>47628.3</v>
      </c>
    </row>
    <row r="605" spans="1:8">
      <c r="A605" s="688"/>
      <c r="B605" s="688"/>
      <c r="C605" s="827"/>
      <c r="D605" s="828" t="s">
        <v>1425</v>
      </c>
      <c r="E605" s="830" t="s">
        <v>2415</v>
      </c>
      <c r="F605" s="803">
        <v>38889.4</v>
      </c>
    </row>
    <row r="606" spans="1:8">
      <c r="A606" s="688"/>
      <c r="B606" s="688"/>
      <c r="C606" s="827"/>
      <c r="D606" s="828" t="s">
        <v>1425</v>
      </c>
      <c r="E606" s="830" t="s">
        <v>2416</v>
      </c>
      <c r="F606" s="803">
        <v>31488.1</v>
      </c>
    </row>
    <row r="607" spans="1:8" ht="25.5">
      <c r="A607" s="688"/>
      <c r="B607" s="688"/>
      <c r="C607" s="827"/>
      <c r="D607" s="828" t="s">
        <v>1425</v>
      </c>
      <c r="E607" s="830" t="s">
        <v>2417</v>
      </c>
      <c r="F607" s="803">
        <v>46687.6</v>
      </c>
    </row>
    <row r="608" spans="1:8" ht="25.5">
      <c r="A608" s="688"/>
      <c r="B608" s="688"/>
      <c r="C608" s="827"/>
      <c r="D608" s="828" t="s">
        <v>1425</v>
      </c>
      <c r="E608" s="830" t="s">
        <v>2431</v>
      </c>
      <c r="F608" s="803">
        <v>39482.699999999997</v>
      </c>
    </row>
    <row r="609" spans="1:8" ht="25.5">
      <c r="A609" s="688"/>
      <c r="B609" s="688"/>
      <c r="C609" s="827"/>
      <c r="D609" s="828" t="s">
        <v>1425</v>
      </c>
      <c r="E609" s="830" t="s">
        <v>2418</v>
      </c>
      <c r="F609" s="803">
        <v>27049.599999999999</v>
      </c>
    </row>
    <row r="610" spans="1:8" ht="25.5">
      <c r="A610" s="688"/>
      <c r="B610" s="688"/>
      <c r="C610" s="827"/>
      <c r="D610" s="828" t="s">
        <v>1425</v>
      </c>
      <c r="E610" s="830" t="s">
        <v>2419</v>
      </c>
      <c r="F610" s="803">
        <v>94565.3</v>
      </c>
    </row>
    <row r="611" spans="1:8" ht="25.5">
      <c r="A611" s="688"/>
      <c r="B611" s="688"/>
      <c r="C611" s="827"/>
      <c r="D611" s="828" t="s">
        <v>1425</v>
      </c>
      <c r="E611" s="830" t="s">
        <v>2420</v>
      </c>
      <c r="F611" s="803">
        <v>37255.9</v>
      </c>
    </row>
    <row r="612" spans="1:8" ht="25.5">
      <c r="A612" s="688"/>
      <c r="B612" s="688"/>
      <c r="C612" s="827"/>
      <c r="D612" s="828" t="s">
        <v>1425</v>
      </c>
      <c r="E612" s="830" t="s">
        <v>2421</v>
      </c>
      <c r="F612" s="803">
        <v>29167.3</v>
      </c>
    </row>
    <row r="613" spans="1:8" ht="25.5">
      <c r="A613" s="688"/>
      <c r="B613" s="688"/>
      <c r="C613" s="827"/>
      <c r="D613" s="828" t="s">
        <v>1425</v>
      </c>
      <c r="E613" s="830" t="s">
        <v>2422</v>
      </c>
      <c r="F613" s="803">
        <v>91656.2</v>
      </c>
    </row>
    <row r="614" spans="1:8">
      <c r="A614" s="688"/>
      <c r="B614" s="688"/>
      <c r="C614" s="827"/>
      <c r="D614" s="828" t="s">
        <v>1425</v>
      </c>
      <c r="E614" s="830" t="s">
        <v>2423</v>
      </c>
      <c r="F614" s="803">
        <v>25920.5</v>
      </c>
    </row>
    <row r="615" spans="1:8">
      <c r="A615" s="688"/>
      <c r="B615" s="688"/>
      <c r="C615" s="827"/>
      <c r="D615" s="828" t="s">
        <v>1425</v>
      </c>
      <c r="E615" s="830" t="s">
        <v>2424</v>
      </c>
      <c r="F615" s="803">
        <v>26378.1</v>
      </c>
    </row>
    <row r="616" spans="1:8">
      <c r="A616" s="688"/>
      <c r="B616" s="688"/>
      <c r="C616" s="827"/>
      <c r="D616" s="828" t="s">
        <v>1425</v>
      </c>
      <c r="E616" s="830" t="s">
        <v>2425</v>
      </c>
      <c r="F616" s="803">
        <v>68817.8</v>
      </c>
    </row>
    <row r="617" spans="1:8">
      <c r="A617" s="688"/>
      <c r="B617" s="688"/>
      <c r="C617" s="827"/>
      <c r="D617" s="828" t="s">
        <v>1425</v>
      </c>
      <c r="E617" s="830" t="s">
        <v>2426</v>
      </c>
      <c r="F617" s="803">
        <v>24440.9</v>
      </c>
    </row>
    <row r="618" spans="1:8">
      <c r="A618" s="688"/>
      <c r="B618" s="688"/>
      <c r="C618" s="827"/>
      <c r="D618" s="828" t="s">
        <v>1425</v>
      </c>
      <c r="E618" s="831" t="s">
        <v>2427</v>
      </c>
      <c r="F618" s="803">
        <v>56823.9</v>
      </c>
    </row>
    <row r="619" spans="1:8">
      <c r="A619" s="688"/>
      <c r="B619" s="688"/>
      <c r="C619" s="827"/>
      <c r="D619" s="828" t="s">
        <v>1425</v>
      </c>
      <c r="E619" s="831" t="s">
        <v>2428</v>
      </c>
      <c r="F619" s="803">
        <v>54943.6</v>
      </c>
    </row>
    <row r="620" spans="1:8" s="687" customFormat="1">
      <c r="A620" s="683" t="s">
        <v>1482</v>
      </c>
      <c r="B620" s="683"/>
      <c r="C620" s="832"/>
      <c r="D620" s="833"/>
      <c r="E620" s="834"/>
      <c r="F620" s="835"/>
    </row>
    <row r="621" spans="1:8">
      <c r="A621" s="688"/>
      <c r="B621" s="688"/>
      <c r="C621" s="827" t="s">
        <v>2411</v>
      </c>
      <c r="D621" s="836" t="s">
        <v>1427</v>
      </c>
      <c r="E621" s="837" t="s">
        <v>2432</v>
      </c>
      <c r="F621" s="790">
        <v>5000</v>
      </c>
      <c r="H621" s="1"/>
    </row>
    <row r="622" spans="1:8">
      <c r="A622" s="688"/>
      <c r="B622" s="688"/>
      <c r="C622" s="827"/>
      <c r="D622" s="836" t="s">
        <v>1427</v>
      </c>
      <c r="E622" s="838" t="s">
        <v>2433</v>
      </c>
      <c r="F622" s="790">
        <v>11600</v>
      </c>
      <c r="H622" s="1"/>
    </row>
    <row r="623" spans="1:8" ht="24">
      <c r="A623" s="688"/>
      <c r="B623" s="688"/>
      <c r="C623" s="827"/>
      <c r="D623" s="836" t="s">
        <v>1422</v>
      </c>
      <c r="E623" s="705" t="s">
        <v>2434</v>
      </c>
      <c r="F623" s="790">
        <v>43387</v>
      </c>
      <c r="H623" s="1"/>
    </row>
    <row r="624" spans="1:8">
      <c r="A624" s="688"/>
      <c r="B624" s="688"/>
      <c r="C624" s="827"/>
      <c r="D624" s="836" t="s">
        <v>1426</v>
      </c>
      <c r="E624" s="705" t="s">
        <v>2435</v>
      </c>
      <c r="F624" s="790">
        <v>118609.1</v>
      </c>
      <c r="H624" s="1"/>
    </row>
    <row r="625" spans="1:8">
      <c r="A625" s="688"/>
      <c r="B625" s="688"/>
      <c r="C625" s="827"/>
      <c r="D625" s="836" t="s">
        <v>2436</v>
      </c>
      <c r="E625" s="705" t="s">
        <v>2437</v>
      </c>
      <c r="F625" s="790">
        <v>34445</v>
      </c>
      <c r="H625" s="1"/>
    </row>
    <row r="626" spans="1:8">
      <c r="A626" s="688"/>
      <c r="B626" s="688"/>
      <c r="C626" s="827"/>
      <c r="D626" s="828" t="s">
        <v>1427</v>
      </c>
      <c r="E626" s="838" t="s">
        <v>2438</v>
      </c>
      <c r="F626" s="790">
        <v>876</v>
      </c>
      <c r="H626" s="1"/>
    </row>
    <row r="627" spans="1:8">
      <c r="A627" s="688"/>
      <c r="B627" s="688"/>
      <c r="C627" s="827"/>
      <c r="D627" s="828" t="s">
        <v>1427</v>
      </c>
      <c r="E627" s="838" t="s">
        <v>2439</v>
      </c>
      <c r="F627" s="790">
        <v>1200</v>
      </c>
      <c r="H627" s="1"/>
    </row>
    <row r="628" spans="1:8">
      <c r="A628" s="688"/>
      <c r="B628" s="688"/>
      <c r="C628" s="827"/>
      <c r="D628" s="828" t="s">
        <v>1427</v>
      </c>
      <c r="E628" s="838" t="s">
        <v>2440</v>
      </c>
      <c r="F628" s="790">
        <v>2328</v>
      </c>
    </row>
    <row r="629" spans="1:8">
      <c r="A629" s="688"/>
      <c r="B629" s="688"/>
      <c r="C629" s="827"/>
      <c r="D629" s="828" t="s">
        <v>1427</v>
      </c>
      <c r="E629" s="838" t="s">
        <v>2441</v>
      </c>
      <c r="F629" s="790">
        <v>2500</v>
      </c>
    </row>
    <row r="630" spans="1:8">
      <c r="A630" s="688"/>
      <c r="B630" s="688"/>
      <c r="C630" s="827"/>
      <c r="D630" s="828" t="s">
        <v>1427</v>
      </c>
      <c r="E630" s="838" t="s">
        <v>2442</v>
      </c>
      <c r="F630" s="790">
        <v>3500</v>
      </c>
    </row>
    <row r="631" spans="1:8">
      <c r="A631" s="688"/>
      <c r="B631" s="688"/>
      <c r="C631" s="827"/>
      <c r="D631" s="828" t="s">
        <v>1427</v>
      </c>
      <c r="E631" s="838" t="s">
        <v>2443</v>
      </c>
      <c r="F631" s="790">
        <v>3500</v>
      </c>
    </row>
    <row r="632" spans="1:8" ht="24">
      <c r="A632" s="688"/>
      <c r="B632" s="688"/>
      <c r="C632" s="827"/>
      <c r="D632" s="828" t="s">
        <v>1426</v>
      </c>
      <c r="E632" s="837" t="s">
        <v>2444</v>
      </c>
      <c r="F632" s="790">
        <v>11437.2</v>
      </c>
    </row>
    <row r="633" spans="1:8" ht="24">
      <c r="A633" s="688"/>
      <c r="B633" s="688"/>
      <c r="C633" s="827"/>
      <c r="D633" s="828" t="s">
        <v>1426</v>
      </c>
      <c r="E633" s="837" t="s">
        <v>2445</v>
      </c>
      <c r="F633" s="790">
        <v>25860.799999999999</v>
      </c>
    </row>
    <row r="634" spans="1:8" s="844" customFormat="1">
      <c r="A634" s="839"/>
      <c r="B634" s="839"/>
      <c r="C634" s="840"/>
      <c r="D634" s="841"/>
      <c r="E634" s="842" t="s">
        <v>2446</v>
      </c>
      <c r="F634" s="843">
        <v>4600</v>
      </c>
    </row>
    <row r="635" spans="1:8">
      <c r="A635" s="688"/>
      <c r="B635" s="688"/>
      <c r="C635" s="827" t="s">
        <v>2447</v>
      </c>
      <c r="D635" s="828" t="s">
        <v>1427</v>
      </c>
      <c r="E635" s="723" t="s">
        <v>2448</v>
      </c>
      <c r="F635" s="790">
        <v>2812</v>
      </c>
    </row>
    <row r="636" spans="1:8">
      <c r="A636" s="688"/>
      <c r="B636" s="688"/>
      <c r="C636" s="827"/>
      <c r="D636" s="828" t="s">
        <v>1427</v>
      </c>
      <c r="E636" s="837" t="s">
        <v>2432</v>
      </c>
      <c r="F636" s="790">
        <v>83301</v>
      </c>
    </row>
    <row r="637" spans="1:8">
      <c r="A637" s="688"/>
      <c r="B637" s="688"/>
      <c r="C637" s="827"/>
      <c r="D637" s="828" t="s">
        <v>1427</v>
      </c>
      <c r="E637" s="838" t="s">
        <v>2433</v>
      </c>
      <c r="F637" s="790">
        <v>205585</v>
      </c>
    </row>
    <row r="638" spans="1:8" ht="24">
      <c r="A638" s="688"/>
      <c r="B638" s="688"/>
      <c r="C638" s="827"/>
      <c r="D638" s="828" t="s">
        <v>1422</v>
      </c>
      <c r="E638" s="705" t="s">
        <v>2434</v>
      </c>
      <c r="F638" s="790">
        <v>519131</v>
      </c>
    </row>
    <row r="639" spans="1:8">
      <c r="A639" s="688"/>
      <c r="B639" s="688"/>
      <c r="C639" s="827"/>
      <c r="D639" s="828" t="s">
        <v>1426</v>
      </c>
      <c r="E639" s="705" t="s">
        <v>2435</v>
      </c>
      <c r="F639" s="790">
        <v>1050287.5</v>
      </c>
    </row>
    <row r="640" spans="1:8">
      <c r="A640" s="688"/>
      <c r="B640" s="688"/>
      <c r="C640" s="827"/>
      <c r="D640" s="828" t="s">
        <v>2436</v>
      </c>
      <c r="E640" s="705" t="s">
        <v>2437</v>
      </c>
      <c r="F640" s="790">
        <v>420650</v>
      </c>
    </row>
    <row r="641" spans="1:6">
      <c r="A641" s="688"/>
      <c r="B641" s="688"/>
      <c r="C641" s="827"/>
      <c r="D641" s="828" t="s">
        <v>1427</v>
      </c>
      <c r="E641" s="838" t="s">
        <v>2438</v>
      </c>
      <c r="F641" s="790">
        <v>13307</v>
      </c>
    </row>
    <row r="642" spans="1:6">
      <c r="A642" s="688"/>
      <c r="B642" s="688"/>
      <c r="C642" s="827"/>
      <c r="D642" s="828" t="s">
        <v>1427</v>
      </c>
      <c r="E642" s="838" t="s">
        <v>2439</v>
      </c>
      <c r="F642" s="790">
        <v>7185.9</v>
      </c>
    </row>
    <row r="643" spans="1:6">
      <c r="A643" s="688"/>
      <c r="B643" s="688"/>
      <c r="C643" s="827"/>
      <c r="D643" s="828" t="s">
        <v>1427</v>
      </c>
      <c r="E643" s="838" t="s">
        <v>2440</v>
      </c>
      <c r="F643" s="790">
        <v>10060.200000000001</v>
      </c>
    </row>
    <row r="644" spans="1:6">
      <c r="A644" s="688"/>
      <c r="B644" s="688"/>
      <c r="C644" s="827"/>
      <c r="D644" s="828" t="s">
        <v>1427</v>
      </c>
      <c r="E644" s="838" t="s">
        <v>2441</v>
      </c>
      <c r="F644" s="790">
        <v>11508.5</v>
      </c>
    </row>
    <row r="645" spans="1:6">
      <c r="A645" s="688"/>
      <c r="B645" s="688"/>
      <c r="C645" s="827"/>
      <c r="D645" s="828" t="s">
        <v>1427</v>
      </c>
      <c r="E645" s="838" t="s">
        <v>2442</v>
      </c>
      <c r="F645" s="790">
        <v>14387.6</v>
      </c>
    </row>
    <row r="646" spans="1:6">
      <c r="A646" s="688"/>
      <c r="B646" s="688"/>
      <c r="C646" s="827"/>
      <c r="D646" s="828" t="s">
        <v>1427</v>
      </c>
      <c r="E646" s="838" t="s">
        <v>2443</v>
      </c>
      <c r="F646" s="790">
        <v>16204.6</v>
      </c>
    </row>
    <row r="647" spans="1:6" ht="24">
      <c r="A647" s="688"/>
      <c r="B647" s="688"/>
      <c r="C647" s="827"/>
      <c r="D647" s="828" t="s">
        <v>1426</v>
      </c>
      <c r="E647" s="837" t="s">
        <v>2444</v>
      </c>
      <c r="F647" s="790">
        <v>85592.5</v>
      </c>
    </row>
    <row r="648" spans="1:6" ht="24">
      <c r="A648" s="688"/>
      <c r="B648" s="688"/>
      <c r="C648" s="827"/>
      <c r="D648" s="828" t="s">
        <v>1426</v>
      </c>
      <c r="E648" s="837" t="s">
        <v>2445</v>
      </c>
      <c r="F648" s="790">
        <v>194824.17300000001</v>
      </c>
    </row>
    <row r="649" spans="1:6" s="844" customFormat="1">
      <c r="A649" s="839"/>
      <c r="B649" s="839"/>
      <c r="C649" s="840"/>
      <c r="D649" s="841"/>
      <c r="E649" s="842" t="s">
        <v>2446</v>
      </c>
      <c r="F649" s="843">
        <v>69600</v>
      </c>
    </row>
    <row r="650" spans="1:6">
      <c r="A650" s="688"/>
      <c r="B650" s="688"/>
      <c r="C650" s="827"/>
      <c r="D650" s="828"/>
      <c r="E650" s="831"/>
      <c r="F650" s="803"/>
    </row>
    <row r="651" spans="1:6" s="687" customFormat="1">
      <c r="A651" s="683" t="s">
        <v>2449</v>
      </c>
      <c r="B651" s="683"/>
      <c r="C651" s="832" t="s">
        <v>2411</v>
      </c>
      <c r="D651" s="845"/>
      <c r="E651" s="834"/>
      <c r="F651" s="835"/>
    </row>
    <row r="652" spans="1:6">
      <c r="A652" s="688"/>
      <c r="B652" s="688"/>
      <c r="C652" s="827"/>
      <c r="D652" s="828" t="s">
        <v>1427</v>
      </c>
      <c r="E652" s="846" t="s">
        <v>2450</v>
      </c>
      <c r="F652" s="803">
        <v>1206730.1469399999</v>
      </c>
    </row>
    <row r="653" spans="1:6">
      <c r="A653" s="688"/>
      <c r="B653" s="688"/>
      <c r="C653" s="827"/>
      <c r="D653" s="828" t="s">
        <v>1424</v>
      </c>
      <c r="E653" s="847" t="s">
        <v>2451</v>
      </c>
      <c r="F653" s="848">
        <v>29907</v>
      </c>
    </row>
    <row r="654" spans="1:6">
      <c r="A654" s="688"/>
      <c r="B654" s="688"/>
      <c r="C654" s="827"/>
      <c r="D654" s="828" t="s">
        <v>1427</v>
      </c>
      <c r="E654" s="847" t="s">
        <v>2452</v>
      </c>
      <c r="F654" s="848">
        <v>249999.51477000001</v>
      </c>
    </row>
    <row r="655" spans="1:6">
      <c r="A655" s="688"/>
      <c r="B655" s="688"/>
      <c r="C655" s="827"/>
      <c r="D655" s="828"/>
      <c r="E655" s="831"/>
      <c r="F655" s="803"/>
    </row>
    <row r="656" spans="1:6" ht="60">
      <c r="A656" s="688"/>
      <c r="B656" s="688"/>
      <c r="C656" s="827" t="s">
        <v>2447</v>
      </c>
      <c r="D656" s="828"/>
      <c r="E656" s="849" t="s">
        <v>2453</v>
      </c>
      <c r="F656" s="850">
        <v>6697768.1015799996</v>
      </c>
    </row>
    <row r="657" spans="1:6" ht="24">
      <c r="A657" s="688"/>
      <c r="B657" s="688"/>
      <c r="C657" s="827"/>
      <c r="D657" s="828" t="s">
        <v>1423</v>
      </c>
      <c r="E657" s="847" t="s">
        <v>2454</v>
      </c>
      <c r="F657" s="851">
        <f>746511.6721+22755.1</f>
        <v>769266.77209999994</v>
      </c>
    </row>
    <row r="658" spans="1:6" ht="32.25" customHeight="1">
      <c r="A658" s="688"/>
      <c r="B658" s="688"/>
      <c r="C658" s="827"/>
      <c r="D658" s="828" t="s">
        <v>1427</v>
      </c>
      <c r="E658" s="847" t="s">
        <v>2455</v>
      </c>
      <c r="F658" s="851">
        <f>169254.76+7425</f>
        <v>176679.76</v>
      </c>
    </row>
    <row r="659" spans="1:6" ht="24">
      <c r="A659" s="688"/>
      <c r="B659" s="688"/>
      <c r="C659" s="827"/>
      <c r="D659" s="828" t="s">
        <v>1426</v>
      </c>
      <c r="E659" s="847" t="s">
        <v>2456</v>
      </c>
      <c r="F659" s="851">
        <v>164929.06984000001</v>
      </c>
    </row>
    <row r="660" spans="1:6" ht="24">
      <c r="A660" s="688"/>
      <c r="B660" s="688"/>
      <c r="C660" s="827"/>
      <c r="D660" s="828" t="s">
        <v>1426</v>
      </c>
      <c r="E660" s="847" t="s">
        <v>2457</v>
      </c>
      <c r="F660" s="851">
        <v>166993.88724000001</v>
      </c>
    </row>
    <row r="661" spans="1:6">
      <c r="A661" s="688"/>
      <c r="B661" s="688"/>
      <c r="C661" s="827"/>
      <c r="D661" s="828" t="s">
        <v>1426</v>
      </c>
      <c r="E661" s="847" t="s">
        <v>2458</v>
      </c>
      <c r="F661" s="851">
        <f>1241167.87737+36236.8</f>
        <v>1277404.6773699999</v>
      </c>
    </row>
    <row r="662" spans="1:6" ht="24">
      <c r="A662" s="688"/>
      <c r="B662" s="688"/>
      <c r="C662" s="827"/>
      <c r="D662" s="828" t="s">
        <v>1426</v>
      </c>
      <c r="E662" s="847" t="s">
        <v>2459</v>
      </c>
      <c r="F662" s="851">
        <v>187626.50654999999</v>
      </c>
    </row>
    <row r="663" spans="1:6" ht="24">
      <c r="A663" s="688"/>
      <c r="B663" s="688"/>
      <c r="C663" s="827"/>
      <c r="D663" s="828" t="s">
        <v>1424</v>
      </c>
      <c r="E663" s="847" t="s">
        <v>2460</v>
      </c>
      <c r="F663" s="851">
        <f>274258.40044+3368.9</f>
        <v>277627.30044000002</v>
      </c>
    </row>
    <row r="664" spans="1:6">
      <c r="A664" s="688"/>
      <c r="B664" s="688"/>
      <c r="C664" s="827"/>
      <c r="D664" s="828" t="s">
        <v>1424</v>
      </c>
      <c r="E664" s="847" t="s">
        <v>2451</v>
      </c>
      <c r="F664" s="851">
        <f>302345.99356+6155.9</f>
        <v>308501.89356</v>
      </c>
    </row>
    <row r="665" spans="1:6" ht="24">
      <c r="A665" s="688"/>
      <c r="B665" s="688"/>
      <c r="C665" s="827"/>
      <c r="D665" s="836" t="s">
        <v>1425</v>
      </c>
      <c r="E665" s="847" t="s">
        <v>2461</v>
      </c>
      <c r="F665" s="851">
        <f>1138834.79335+29204</f>
        <v>1168038.7933499999</v>
      </c>
    </row>
    <row r="666" spans="1:6" ht="24">
      <c r="A666" s="688"/>
      <c r="B666" s="688"/>
      <c r="C666" s="827"/>
      <c r="D666" s="828" t="s">
        <v>1425</v>
      </c>
      <c r="E666" s="847" t="s">
        <v>2462</v>
      </c>
      <c r="F666" s="851">
        <f>633710.566+12295</f>
        <v>646005.56599999999</v>
      </c>
    </row>
    <row r="667" spans="1:6">
      <c r="A667" s="688"/>
      <c r="B667" s="688"/>
      <c r="C667" s="827"/>
      <c r="D667" s="828" t="s">
        <v>1422</v>
      </c>
      <c r="E667" s="847" t="s">
        <v>2463</v>
      </c>
      <c r="F667" s="851">
        <f>1079393.8094+34242</f>
        <v>1113635.8093999999</v>
      </c>
    </row>
    <row r="668" spans="1:6">
      <c r="A668" s="688"/>
      <c r="B668" s="688"/>
      <c r="C668" s="827"/>
      <c r="D668" s="828" t="s">
        <v>1427</v>
      </c>
      <c r="E668" s="847" t="s">
        <v>2452</v>
      </c>
      <c r="F668" s="851">
        <f>426880.46052+6312.9</f>
        <v>433193.36052000005</v>
      </c>
    </row>
    <row r="669" spans="1:6">
      <c r="A669" s="688"/>
      <c r="B669" s="688"/>
      <c r="C669" s="827"/>
      <c r="D669" s="828" t="s">
        <v>1427</v>
      </c>
      <c r="E669" s="847" t="s">
        <v>2464</v>
      </c>
      <c r="F669" s="851">
        <v>7874.7052100000001</v>
      </c>
    </row>
    <row r="670" spans="1:6">
      <c r="C670" s="852"/>
      <c r="D670" s="853"/>
      <c r="E670" s="854"/>
      <c r="F670" s="855"/>
    </row>
    <row r="671" spans="1:6">
      <c r="C671" s="856"/>
      <c r="D671" s="857"/>
      <c r="E671" s="858"/>
      <c r="F671" s="859"/>
    </row>
    <row r="672" spans="1:6">
      <c r="C672" s="856"/>
      <c r="D672" s="857"/>
      <c r="E672" s="858"/>
      <c r="F672" s="859"/>
    </row>
    <row r="673" spans="3:8">
      <c r="C673" s="856"/>
      <c r="D673" s="857"/>
      <c r="E673" s="858"/>
      <c r="F673" s="859"/>
    </row>
    <row r="674" spans="3:8">
      <c r="C674" s="856"/>
      <c r="D674" s="857"/>
      <c r="E674" s="858"/>
      <c r="F674" s="859"/>
    </row>
    <row r="675" spans="3:8">
      <c r="C675" s="856"/>
      <c r="D675" s="857"/>
      <c r="E675" s="858"/>
      <c r="F675" s="859"/>
    </row>
    <row r="676" spans="3:8">
      <c r="C676" s="856"/>
      <c r="D676" s="857"/>
      <c r="E676" s="858"/>
      <c r="F676" s="859"/>
    </row>
    <row r="677" spans="3:8">
      <c r="C677" s="856"/>
      <c r="D677" s="857"/>
      <c r="E677" s="858"/>
      <c r="F677" s="859"/>
    </row>
    <row r="678" spans="3:8">
      <c r="C678" s="856"/>
      <c r="D678" s="857"/>
      <c r="E678" s="858"/>
      <c r="F678" s="859"/>
    </row>
    <row r="679" spans="3:8">
      <c r="C679" s="856"/>
      <c r="D679" s="857"/>
      <c r="E679" s="858"/>
      <c r="F679" s="859"/>
    </row>
    <row r="680" spans="3:8">
      <c r="C680" s="856"/>
      <c r="D680" s="857"/>
      <c r="E680" s="858"/>
      <c r="F680" s="859"/>
    </row>
    <row r="681" spans="3:8">
      <c r="C681" s="856"/>
      <c r="D681" s="857"/>
      <c r="E681" s="858"/>
      <c r="F681" s="859"/>
    </row>
    <row r="682" spans="3:8">
      <c r="C682" s="856"/>
      <c r="D682" s="857"/>
      <c r="E682" s="858"/>
      <c r="F682" s="859"/>
    </row>
    <row r="683" spans="3:8">
      <c r="C683" s="856"/>
      <c r="D683" s="857"/>
      <c r="E683" s="858"/>
      <c r="F683" s="859"/>
    </row>
    <row r="684" spans="3:8">
      <c r="C684" s="856"/>
      <c r="D684" s="857"/>
      <c r="E684" s="858"/>
      <c r="F684" s="859"/>
      <c r="H684" s="1"/>
    </row>
    <row r="685" spans="3:8">
      <c r="C685" s="856"/>
      <c r="D685" s="860"/>
      <c r="E685" s="858"/>
      <c r="F685" s="861"/>
      <c r="H685" s="1"/>
    </row>
    <row r="686" spans="3:8">
      <c r="C686" s="856"/>
      <c r="D686" s="857"/>
      <c r="E686" s="858"/>
      <c r="F686" s="861"/>
      <c r="H686" s="1"/>
    </row>
    <row r="687" spans="3:8">
      <c r="C687" s="856"/>
      <c r="D687" s="860"/>
      <c r="E687" s="858"/>
      <c r="F687" s="861"/>
      <c r="H687" s="1"/>
    </row>
    <row r="688" spans="3:8">
      <c r="C688" s="856"/>
      <c r="D688" s="860"/>
      <c r="E688" s="858"/>
      <c r="F688" s="861"/>
      <c r="H688" s="1"/>
    </row>
    <row r="689" spans="3:8">
      <c r="C689" s="856"/>
      <c r="D689" s="860"/>
      <c r="E689" s="858"/>
      <c r="F689" s="861"/>
      <c r="H689" s="1"/>
    </row>
    <row r="690" spans="3:8">
      <c r="C690" s="856"/>
      <c r="D690" s="860"/>
      <c r="E690" s="858"/>
      <c r="F690" s="861"/>
      <c r="H690" s="1"/>
    </row>
    <row r="691" spans="3:8">
      <c r="C691" s="856"/>
      <c r="D691" s="860"/>
      <c r="E691" s="858"/>
      <c r="F691" s="861"/>
    </row>
    <row r="692" spans="3:8">
      <c r="C692" s="856"/>
      <c r="D692" s="860"/>
      <c r="E692" s="858"/>
      <c r="F692" s="861"/>
    </row>
    <row r="693" spans="3:8">
      <c r="C693" s="856"/>
      <c r="D693" s="860"/>
      <c r="E693" s="858"/>
      <c r="F693" s="861"/>
    </row>
    <row r="694" spans="3:8">
      <c r="C694" s="856"/>
      <c r="D694" s="860"/>
      <c r="E694" s="858"/>
      <c r="F694" s="861"/>
    </row>
    <row r="695" spans="3:8">
      <c r="C695" s="856"/>
      <c r="D695" s="860"/>
      <c r="E695" s="858"/>
      <c r="F695" s="861"/>
    </row>
    <row r="696" spans="3:8">
      <c r="C696" s="856"/>
      <c r="D696" s="860"/>
      <c r="E696" s="858"/>
      <c r="F696" s="861"/>
    </row>
    <row r="697" spans="3:8">
      <c r="C697" s="856"/>
      <c r="D697" s="860"/>
      <c r="E697" s="858"/>
      <c r="F697" s="861"/>
    </row>
    <row r="698" spans="3:8">
      <c r="C698" s="856"/>
      <c r="D698" s="860"/>
      <c r="E698" s="858"/>
      <c r="F698" s="861"/>
    </row>
    <row r="699" spans="3:8">
      <c r="C699" s="856"/>
      <c r="D699" s="860"/>
      <c r="E699" s="858"/>
      <c r="F699" s="861"/>
    </row>
    <row r="700" spans="3:8">
      <c r="C700" s="856"/>
      <c r="D700" s="860"/>
      <c r="E700" s="858"/>
      <c r="F700" s="861"/>
    </row>
    <row r="701" spans="3:8">
      <c r="C701" s="856"/>
      <c r="D701" s="860"/>
      <c r="E701" s="858"/>
      <c r="F701" s="861"/>
    </row>
    <row r="702" spans="3:8">
      <c r="C702" s="856"/>
      <c r="D702" s="857"/>
      <c r="E702" s="858"/>
      <c r="F702" s="861"/>
    </row>
    <row r="703" spans="3:8">
      <c r="C703" s="857"/>
      <c r="D703" s="857"/>
      <c r="E703" s="858"/>
      <c r="F703" s="861"/>
    </row>
    <row r="704" spans="3:8">
      <c r="C704" s="857"/>
      <c r="D704" s="857"/>
      <c r="E704" s="858"/>
      <c r="F704" s="861"/>
    </row>
    <row r="705" spans="3:8">
      <c r="C705" s="857"/>
      <c r="D705" s="857"/>
      <c r="E705" s="858"/>
      <c r="F705" s="861"/>
    </row>
    <row r="706" spans="3:8">
      <c r="C706" s="857"/>
      <c r="D706" s="857"/>
      <c r="E706" s="858"/>
      <c r="F706" s="861"/>
    </row>
    <row r="707" spans="3:8">
      <c r="C707" s="857"/>
      <c r="D707" s="857"/>
      <c r="E707" s="858"/>
      <c r="F707" s="861"/>
    </row>
    <row r="708" spans="3:8">
      <c r="C708" s="857"/>
      <c r="D708" s="857"/>
      <c r="E708" s="858"/>
      <c r="F708" s="861"/>
    </row>
    <row r="709" spans="3:8">
      <c r="C709" s="857"/>
      <c r="D709" s="857"/>
      <c r="E709" s="858"/>
      <c r="F709" s="861"/>
    </row>
    <row r="710" spans="3:8">
      <c r="C710" s="857"/>
      <c r="D710" s="857"/>
      <c r="E710" s="858"/>
      <c r="F710" s="861"/>
    </row>
    <row r="711" spans="3:8">
      <c r="C711" s="857"/>
      <c r="D711" s="857"/>
      <c r="E711" s="858"/>
      <c r="F711" s="861"/>
    </row>
    <row r="712" spans="3:8">
      <c r="C712" s="857"/>
      <c r="D712" s="857"/>
      <c r="E712" s="858"/>
      <c r="F712" s="861"/>
    </row>
    <row r="713" spans="3:8">
      <c r="C713" s="857"/>
      <c r="D713" s="857"/>
      <c r="E713" s="858"/>
      <c r="F713" s="861"/>
      <c r="H713" s="1"/>
    </row>
    <row r="714" spans="3:8">
      <c r="C714" s="857"/>
      <c r="D714" s="857"/>
      <c r="E714" s="858"/>
      <c r="F714" s="861"/>
      <c r="H714" s="1"/>
    </row>
    <row r="715" spans="3:8">
      <c r="C715" s="857"/>
      <c r="D715" s="857"/>
      <c r="E715" s="858"/>
      <c r="F715" s="861"/>
      <c r="H715" s="1"/>
    </row>
    <row r="716" spans="3:8">
      <c r="C716" s="857"/>
      <c r="D716" s="857"/>
      <c r="E716" s="858"/>
      <c r="F716" s="861"/>
      <c r="H716" s="1"/>
    </row>
    <row r="717" spans="3:8">
      <c r="C717" s="857"/>
      <c r="D717" s="857"/>
      <c r="E717" s="858"/>
      <c r="F717" s="861"/>
      <c r="H717" s="1"/>
    </row>
    <row r="718" spans="3:8">
      <c r="C718" s="857"/>
      <c r="D718" s="857"/>
      <c r="E718" s="858"/>
      <c r="F718" s="861"/>
      <c r="H718" s="1"/>
    </row>
    <row r="719" spans="3:8">
      <c r="C719" s="857"/>
      <c r="D719" s="857"/>
      <c r="E719" s="858"/>
      <c r="F719" s="861"/>
      <c r="H719" s="1"/>
    </row>
    <row r="720" spans="3:8">
      <c r="C720" s="857"/>
      <c r="D720" s="857"/>
      <c r="E720" s="858"/>
      <c r="F720" s="861"/>
    </row>
    <row r="721" spans="3:6">
      <c r="C721" s="857"/>
      <c r="D721" s="857"/>
      <c r="E721" s="858"/>
      <c r="F721" s="861"/>
    </row>
    <row r="722" spans="3:6">
      <c r="C722" s="857"/>
      <c r="D722" s="857"/>
      <c r="E722" s="858"/>
      <c r="F722" s="861"/>
    </row>
    <row r="723" spans="3:6">
      <c r="C723" s="857"/>
      <c r="D723" s="857"/>
      <c r="E723" s="858"/>
      <c r="F723" s="861"/>
    </row>
    <row r="724" spans="3:6">
      <c r="C724" s="857"/>
      <c r="D724" s="857"/>
      <c r="E724" s="858"/>
      <c r="F724" s="861"/>
    </row>
    <row r="725" spans="3:6">
      <c r="C725" s="857"/>
      <c r="D725" s="857"/>
      <c r="E725" s="858"/>
      <c r="F725" s="861"/>
    </row>
    <row r="726" spans="3:6">
      <c r="C726" s="857"/>
      <c r="D726" s="857"/>
      <c r="E726" s="858"/>
      <c r="F726" s="859"/>
    </row>
    <row r="727" spans="3:6">
      <c r="C727" s="857"/>
      <c r="D727" s="857"/>
      <c r="E727" s="858"/>
      <c r="F727" s="859"/>
    </row>
    <row r="728" spans="3:6">
      <c r="C728" s="862"/>
      <c r="D728" s="863"/>
      <c r="E728" s="864"/>
      <c r="F728" s="859"/>
    </row>
    <row r="729" spans="3:6">
      <c r="C729" s="13"/>
      <c r="D729" s="13"/>
      <c r="E729" s="13"/>
      <c r="F729" s="859"/>
    </row>
    <row r="730" spans="3:6">
      <c r="D730" s="13"/>
      <c r="E730" s="13"/>
      <c r="F730" s="13"/>
    </row>
    <row r="731" spans="3:6">
      <c r="D731" s="13"/>
      <c r="E731" s="13"/>
      <c r="F731" s="13"/>
    </row>
    <row r="732" spans="3:6">
      <c r="D732" s="13"/>
      <c r="E732" s="13"/>
      <c r="F732" s="13"/>
    </row>
    <row r="733" spans="3:6">
      <c r="D733" s="13"/>
      <c r="E733" s="13"/>
      <c r="F733" s="13"/>
    </row>
    <row r="734" spans="3:6">
      <c r="D734" s="13"/>
      <c r="E734" s="13"/>
      <c r="F734" s="13"/>
    </row>
    <row r="735" spans="3:6">
      <c r="D735" s="13"/>
      <c r="E735" s="13"/>
      <c r="F735" s="13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3"/>
  <sheetViews>
    <sheetView zoomScale="85" zoomScaleNormal="85" workbookViewId="0">
      <selection activeCell="I37" sqref="I37"/>
    </sheetView>
  </sheetViews>
  <sheetFormatPr defaultRowHeight="12.75"/>
  <cols>
    <col min="1" max="1" width="32.5703125" customWidth="1"/>
    <col min="2" max="2" width="18.5703125" customWidth="1"/>
    <col min="3" max="3" width="19.140625" customWidth="1"/>
    <col min="4" max="4" width="15.42578125" customWidth="1"/>
    <col min="8" max="8" width="17.5703125" customWidth="1"/>
    <col min="9" max="9" width="11.85546875" bestFit="1" customWidth="1"/>
    <col min="10" max="10" width="14" bestFit="1" customWidth="1"/>
    <col min="11" max="11" width="13.42578125" customWidth="1"/>
    <col min="12" max="12" width="10.7109375" customWidth="1"/>
    <col min="13" max="13" width="22.5703125" customWidth="1"/>
  </cols>
  <sheetData>
    <row r="3" spans="1:13">
      <c r="A3" s="152"/>
      <c r="B3" s="153"/>
      <c r="C3" s="153" t="s">
        <v>1480</v>
      </c>
      <c r="D3" s="153" t="s">
        <v>621</v>
      </c>
      <c r="J3" t="s">
        <v>1574</v>
      </c>
      <c r="K3" s="162">
        <v>247585614.4777</v>
      </c>
    </row>
    <row r="4" spans="1:13" ht="14.25">
      <c r="B4" s="155" t="s">
        <v>443</v>
      </c>
      <c r="C4" s="58">
        <v>11</v>
      </c>
      <c r="D4" s="58">
        <v>15</v>
      </c>
      <c r="J4">
        <v>15</v>
      </c>
      <c r="K4" s="162">
        <v>14895147.376300002</v>
      </c>
    </row>
    <row r="5" spans="1:13" ht="24.75" customHeight="1">
      <c r="A5" s="229" t="s">
        <v>1572</v>
      </c>
      <c r="B5" s="153" t="s">
        <v>714</v>
      </c>
      <c r="C5" s="156">
        <f>SUM(C6:C7)</f>
        <v>6076399</v>
      </c>
      <c r="D5" s="156">
        <v>487556.2</v>
      </c>
      <c r="H5">
        <v>11</v>
      </c>
      <c r="I5">
        <v>15</v>
      </c>
      <c r="K5" t="s">
        <v>1575</v>
      </c>
    </row>
    <row r="6" spans="1:13" ht="15">
      <c r="A6" s="152"/>
      <c r="B6" s="158" t="s">
        <v>1272</v>
      </c>
      <c r="C6" s="162">
        <v>2126739.65</v>
      </c>
      <c r="D6" s="159"/>
      <c r="G6" t="s">
        <v>1272</v>
      </c>
      <c r="H6" s="162">
        <f>SUMIF(B5:B63,"ПМСП",C5:C63)</f>
        <v>175995586.64361998</v>
      </c>
      <c r="I6" s="162">
        <f>SUMIF(B5:B63,"ПМСП",D5:D63)</f>
        <v>439203.4</v>
      </c>
      <c r="J6" s="115">
        <f>SUM(H6:I6)</f>
        <v>176434790.04361999</v>
      </c>
      <c r="K6" s="238">
        <f>J6*100/$J$10</f>
        <v>85.912039274069372</v>
      </c>
      <c r="L6" s="184" t="s">
        <v>1272</v>
      </c>
      <c r="M6" s="170">
        <f>K6*$K$3/100</f>
        <v>212705850.3470276</v>
      </c>
    </row>
    <row r="7" spans="1:13" ht="15">
      <c r="A7" s="152"/>
      <c r="B7" s="158" t="s">
        <v>1271</v>
      </c>
      <c r="C7" s="162">
        <v>3949659.35</v>
      </c>
      <c r="D7" s="159"/>
      <c r="G7" t="s">
        <v>1271</v>
      </c>
      <c r="H7" s="162">
        <f>SUMIF(B5:B63,"КДП",C5:C63)</f>
        <v>21429679.192559998</v>
      </c>
      <c r="I7" s="162">
        <f>SUMIF(B6:B64,"КДП",D6:D64)</f>
        <v>1484910</v>
      </c>
      <c r="J7" s="115">
        <f>SUM(H7:I7)</f>
        <v>22914589.192559998</v>
      </c>
      <c r="K7" s="238">
        <f>J7*100/$J$10</f>
        <v>11.157884939663392</v>
      </c>
      <c r="L7" s="184" t="s">
        <v>1271</v>
      </c>
      <c r="M7" s="170">
        <f t="shared" ref="M7:M10" si="0">K7*$K$3/100</f>
        <v>27625317.990580354</v>
      </c>
    </row>
    <row r="8" spans="1:13" ht="25.5">
      <c r="A8" s="154" t="s">
        <v>713</v>
      </c>
      <c r="B8" s="153" t="s">
        <v>714</v>
      </c>
      <c r="C8" s="156">
        <f>C9+C10</f>
        <v>11650458.4</v>
      </c>
      <c r="D8" s="156">
        <v>336227.1</v>
      </c>
      <c r="G8" t="s">
        <v>717</v>
      </c>
      <c r="H8" s="162">
        <f>SUMIF(B5:B63,"Скорая",C5:C63)</f>
        <v>24998</v>
      </c>
      <c r="I8" s="162">
        <f>SUMIF(B7:B65,"Скорая",D7:D65)</f>
        <v>5685665.1400000006</v>
      </c>
      <c r="J8" s="115">
        <f>SUM(H8:I8)</f>
        <v>5710663.1400000006</v>
      </c>
      <c r="K8" s="238">
        <f>J8*100/$J$10</f>
        <v>2.7807141428477089</v>
      </c>
      <c r="L8" s="184" t="s">
        <v>717</v>
      </c>
      <c r="M8" s="170">
        <f t="shared" si="0"/>
        <v>6884648.1974378088</v>
      </c>
    </row>
    <row r="9" spans="1:13" ht="15">
      <c r="A9" s="152"/>
      <c r="B9" s="158" t="s">
        <v>1272</v>
      </c>
      <c r="C9" s="162">
        <v>11085836.5</v>
      </c>
      <c r="D9" s="159"/>
      <c r="G9" s="163" t="s">
        <v>718</v>
      </c>
      <c r="H9" s="162">
        <f>SUMIF(B6:B64,"Инфекция",C6:C64)</f>
        <v>0</v>
      </c>
      <c r="I9" s="162">
        <f>SUMIF(B8:B66,"Инфекция",D8:D66)</f>
        <v>306739.20000000001</v>
      </c>
      <c r="J9" s="115">
        <f>SUM(H9:I9)</f>
        <v>306739.20000000001</v>
      </c>
      <c r="K9" s="238">
        <f>J9*100/$J$10</f>
        <v>0.14936164341954022</v>
      </c>
      <c r="L9" s="184" t="s">
        <v>718</v>
      </c>
      <c r="M9" s="170">
        <f t="shared" si="0"/>
        <v>369797.94265425979</v>
      </c>
    </row>
    <row r="10" spans="1:13" ht="15">
      <c r="A10" s="152"/>
      <c r="B10" s="158" t="s">
        <v>1271</v>
      </c>
      <c r="C10" s="162">
        <v>564621.9</v>
      </c>
      <c r="D10" s="159"/>
      <c r="H10" s="115">
        <f>SUM(H6:H8)</f>
        <v>197450263.83617997</v>
      </c>
      <c r="I10" s="115">
        <f>SUM(I6:I9)</f>
        <v>7916517.7400000012</v>
      </c>
      <c r="J10" s="115">
        <f>SUM(H10:I10)</f>
        <v>205366781.57617998</v>
      </c>
      <c r="K10" s="238">
        <f>J10*100/$J$10</f>
        <v>99.999999999999986</v>
      </c>
      <c r="L10" s="157"/>
      <c r="M10" s="170">
        <f t="shared" si="0"/>
        <v>247585614.47769997</v>
      </c>
    </row>
    <row r="11" spans="1:13" ht="22.5" customHeight="1">
      <c r="A11" s="160" t="s">
        <v>715</v>
      </c>
      <c r="B11" s="153" t="s">
        <v>714</v>
      </c>
      <c r="C11" s="161">
        <f>C12+C13</f>
        <v>30771638</v>
      </c>
      <c r="D11" s="156">
        <f>D13+D14+D15+D16+D17+D18+D19</f>
        <v>885178</v>
      </c>
    </row>
    <row r="12" spans="1:13" ht="15">
      <c r="A12" s="152"/>
      <c r="B12" s="158" t="s">
        <v>1272</v>
      </c>
      <c r="C12" s="162">
        <v>30771638</v>
      </c>
      <c r="D12" s="162"/>
    </row>
    <row r="13" spans="1:13" ht="15">
      <c r="A13" s="152"/>
      <c r="B13" s="158" t="s">
        <v>1271</v>
      </c>
      <c r="C13" s="162">
        <v>0</v>
      </c>
      <c r="D13" s="162"/>
    </row>
    <row r="14" spans="1:13" ht="36" customHeight="1">
      <c r="A14" s="160" t="s">
        <v>716</v>
      </c>
      <c r="B14" s="153" t="s">
        <v>714</v>
      </c>
      <c r="C14" s="161">
        <f>SUM(C15:C16)</f>
        <v>5898766.1944700014</v>
      </c>
      <c r="D14" s="161">
        <f>SUM(D15:D16)</f>
        <v>15000</v>
      </c>
    </row>
    <row r="15" spans="1:13" ht="15">
      <c r="A15" s="152"/>
      <c r="B15" s="158" t="s">
        <v>1272</v>
      </c>
      <c r="C15" s="162">
        <v>5784285.279910001</v>
      </c>
      <c r="D15" s="162"/>
    </row>
    <row r="16" spans="1:13" ht="15">
      <c r="A16" s="152"/>
      <c r="B16" s="158" t="s">
        <v>1271</v>
      </c>
      <c r="C16" s="162">
        <v>114480.91456</v>
      </c>
      <c r="D16" s="162">
        <v>15000</v>
      </c>
    </row>
    <row r="17" spans="1:4" ht="25.5" customHeight="1">
      <c r="A17" s="160" t="s">
        <v>719</v>
      </c>
      <c r="B17" s="153" t="s">
        <v>714</v>
      </c>
      <c r="C17" s="161">
        <f>C18+C19+C20+C21</f>
        <v>16619768.4</v>
      </c>
      <c r="D17" s="161">
        <f>D20+D21</f>
        <v>855178</v>
      </c>
    </row>
    <row r="18" spans="1:4" ht="15">
      <c r="A18" s="152"/>
      <c r="B18" s="158" t="s">
        <v>1272</v>
      </c>
      <c r="C18" s="162">
        <v>14948442</v>
      </c>
      <c r="D18" s="162">
        <v>0</v>
      </c>
    </row>
    <row r="19" spans="1:4" ht="15">
      <c r="A19" s="152"/>
      <c r="B19" s="158" t="s">
        <v>1271</v>
      </c>
      <c r="C19" s="162">
        <v>1671326.4</v>
      </c>
      <c r="D19" s="162">
        <v>0</v>
      </c>
    </row>
    <row r="20" spans="1:4">
      <c r="A20" s="152"/>
      <c r="B20" s="163" t="s">
        <v>717</v>
      </c>
      <c r="C20" s="162"/>
      <c r="D20" s="162">
        <v>548438.80000000005</v>
      </c>
    </row>
    <row r="21" spans="1:4">
      <c r="A21" s="152"/>
      <c r="B21" s="163" t="s">
        <v>718</v>
      </c>
      <c r="C21" s="162"/>
      <c r="D21" s="162">
        <v>306739.20000000001</v>
      </c>
    </row>
    <row r="22" spans="1:4" ht="25.5">
      <c r="A22" s="160" t="s">
        <v>720</v>
      </c>
      <c r="B22" s="153" t="s">
        <v>714</v>
      </c>
      <c r="C22" s="161">
        <f>SUM(C23:C24)</f>
        <v>15928088.43</v>
      </c>
      <c r="D22" s="161">
        <f>SUM(D23:D24)</f>
        <v>101358.39999999999</v>
      </c>
    </row>
    <row r="23" spans="1:4" ht="15">
      <c r="A23" s="152"/>
      <c r="B23" s="158" t="s">
        <v>1272</v>
      </c>
      <c r="C23" s="162">
        <v>14785034.140000001</v>
      </c>
      <c r="D23" s="162">
        <v>81358.399999999994</v>
      </c>
    </row>
    <row r="24" spans="1:4" ht="15">
      <c r="A24" s="152"/>
      <c r="B24" s="158" t="s">
        <v>1271</v>
      </c>
      <c r="C24" s="162">
        <v>1143054.29</v>
      </c>
      <c r="D24" s="162">
        <v>20000</v>
      </c>
    </row>
    <row r="25" spans="1:4" ht="25.5">
      <c r="A25" s="160" t="s">
        <v>1573</v>
      </c>
      <c r="B25" s="153" t="s">
        <v>714</v>
      </c>
      <c r="C25" s="161">
        <v>8542698</v>
      </c>
      <c r="D25" s="161">
        <f>SUM(D26:D27)</f>
        <v>566019</v>
      </c>
    </row>
    <row r="26" spans="1:4" ht="15">
      <c r="A26" s="152"/>
      <c r="B26" s="158" t="s">
        <v>1272</v>
      </c>
      <c r="C26" s="162">
        <v>8542698</v>
      </c>
      <c r="D26" s="162"/>
    </row>
    <row r="27" spans="1:4" ht="15">
      <c r="A27" s="152"/>
      <c r="B27" s="158" t="s">
        <v>1271</v>
      </c>
      <c r="C27" s="162">
        <v>0</v>
      </c>
      <c r="D27" s="162">
        <v>566019</v>
      </c>
    </row>
    <row r="28" spans="1:4" ht="25.5">
      <c r="A28" s="160" t="s">
        <v>640</v>
      </c>
      <c r="B28" s="153" t="s">
        <v>714</v>
      </c>
      <c r="C28" s="161">
        <v>8542698</v>
      </c>
      <c r="D28" s="161">
        <f>SUM(D29:D31)</f>
        <v>881287</v>
      </c>
    </row>
    <row r="29" spans="1:4" ht="15">
      <c r="A29" s="152"/>
      <c r="B29" s="158" t="s">
        <v>1272</v>
      </c>
      <c r="C29" s="162">
        <v>5681649.3499999996</v>
      </c>
      <c r="D29" s="162"/>
    </row>
    <row r="30" spans="1:4" ht="15">
      <c r="A30" s="152"/>
      <c r="B30" s="158" t="s">
        <v>1271</v>
      </c>
      <c r="C30" s="162">
        <v>3059349.65</v>
      </c>
      <c r="D30" s="162"/>
    </row>
    <row r="31" spans="1:4" ht="15">
      <c r="A31" s="152"/>
      <c r="B31" s="163" t="s">
        <v>717</v>
      </c>
      <c r="C31" s="231"/>
      <c r="D31" s="166">
        <v>881287</v>
      </c>
    </row>
    <row r="32" spans="1:4" ht="25.5">
      <c r="A32" s="152" t="s">
        <v>1317</v>
      </c>
      <c r="B32" s="153" t="s">
        <v>714</v>
      </c>
      <c r="C32" s="161">
        <f>SUM(C33:C34)</f>
        <v>6242195.5350000001</v>
      </c>
      <c r="D32" s="161">
        <f>SUM(D33:D35)</f>
        <v>288440.34000000003</v>
      </c>
    </row>
    <row r="33" spans="1:4" ht="15">
      <c r="A33" s="152"/>
      <c r="B33" s="158" t="s">
        <v>1272</v>
      </c>
      <c r="C33" s="166">
        <v>3953559.3470000001</v>
      </c>
      <c r="D33" s="162"/>
    </row>
    <row r="34" spans="1:4" ht="15">
      <c r="A34" s="152"/>
      <c r="B34" s="158" t="s">
        <v>1271</v>
      </c>
      <c r="C34" s="166">
        <v>2288636.1880000001</v>
      </c>
      <c r="D34" s="162"/>
    </row>
    <row r="35" spans="1:4" ht="15">
      <c r="A35" s="152"/>
      <c r="B35" s="163" t="s">
        <v>717</v>
      </c>
      <c r="C35" s="230"/>
      <c r="D35" s="166">
        <v>288440.34000000003</v>
      </c>
    </row>
    <row r="36" spans="1:4" ht="14.25">
      <c r="A36" s="152" t="s">
        <v>1481</v>
      </c>
      <c r="B36" s="164" t="s">
        <v>714</v>
      </c>
      <c r="C36" s="165">
        <f>SUM(C37:C39)</f>
        <v>13549117</v>
      </c>
      <c r="D36" s="156">
        <f>SUM(D37:D39)</f>
        <v>781630</v>
      </c>
    </row>
    <row r="37" spans="1:4" ht="15">
      <c r="A37" s="152"/>
      <c r="B37" s="158" t="s">
        <v>1272</v>
      </c>
      <c r="C37" s="232">
        <f>9346448+3968550+1301304+359202-1461437</f>
        <v>13514067</v>
      </c>
      <c r="D37" s="166"/>
    </row>
    <row r="38" spans="1:4" ht="15">
      <c r="A38" s="152"/>
      <c r="B38" s="158" t="s">
        <v>1271</v>
      </c>
      <c r="C38" s="232">
        <v>25135</v>
      </c>
      <c r="D38" s="232">
        <v>449402</v>
      </c>
    </row>
    <row r="39" spans="1:4" ht="14.25">
      <c r="A39" s="152"/>
      <c r="B39" s="163" t="s">
        <v>717</v>
      </c>
      <c r="C39" s="233">
        <v>9915</v>
      </c>
      <c r="D39" s="233">
        <v>332228</v>
      </c>
    </row>
    <row r="40" spans="1:4" ht="24">
      <c r="A40" s="152" t="s">
        <v>1448</v>
      </c>
      <c r="B40" s="167" t="s">
        <v>714</v>
      </c>
      <c r="C40" s="168">
        <f>C41+C42</f>
        <v>11307303.476709999</v>
      </c>
      <c r="D40" s="168">
        <f>SUM(D41:D43)</f>
        <v>579121</v>
      </c>
    </row>
    <row r="41" spans="1:4" ht="15">
      <c r="A41" s="152"/>
      <c r="B41" s="158" t="s">
        <v>1272</v>
      </c>
      <c r="C41" s="169">
        <v>11307303.476709999</v>
      </c>
      <c r="D41" s="169"/>
    </row>
    <row r="42" spans="1:4" ht="15">
      <c r="A42" s="152"/>
      <c r="B42" s="158" t="s">
        <v>1271</v>
      </c>
      <c r="C42" s="169"/>
      <c r="D42" s="162">
        <v>213281</v>
      </c>
    </row>
    <row r="43" spans="1:4">
      <c r="A43" s="152"/>
      <c r="B43" s="163" t="s">
        <v>717</v>
      </c>
      <c r="C43" s="234"/>
      <c r="D43" s="162">
        <v>365840</v>
      </c>
    </row>
    <row r="44" spans="1:4" ht="24">
      <c r="A44" s="152" t="s">
        <v>1576</v>
      </c>
      <c r="B44" s="167" t="s">
        <v>714</v>
      </c>
      <c r="C44" s="168">
        <f>SUM(C45:C47)</f>
        <v>13115013</v>
      </c>
      <c r="D44" s="168">
        <f>SUM(D45:D47)</f>
        <v>1196525</v>
      </c>
    </row>
    <row r="45" spans="1:4" ht="15">
      <c r="A45" s="152"/>
      <c r="B45" s="158" t="s">
        <v>1272</v>
      </c>
      <c r="C45" s="162">
        <v>10365754</v>
      </c>
      <c r="D45" s="162">
        <v>357845</v>
      </c>
    </row>
    <row r="46" spans="1:4" ht="15">
      <c r="A46" s="152"/>
      <c r="B46" s="158" t="s">
        <v>1271</v>
      </c>
      <c r="C46" s="162">
        <v>2749259</v>
      </c>
      <c r="D46" s="162">
        <v>221208</v>
      </c>
    </row>
    <row r="47" spans="1:4">
      <c r="A47" s="152"/>
      <c r="B47" s="163" t="s">
        <v>717</v>
      </c>
      <c r="C47" s="231"/>
      <c r="D47" s="162">
        <v>617472</v>
      </c>
    </row>
    <row r="48" spans="1:4" ht="25.5">
      <c r="A48" s="152" t="s">
        <v>1571</v>
      </c>
      <c r="B48" s="153" t="s">
        <v>714</v>
      </c>
      <c r="C48" s="161">
        <f>SUM(C49:C51)</f>
        <v>8058914</v>
      </c>
      <c r="D48" s="161">
        <f>SUM(D49:D51)</f>
        <v>659183</v>
      </c>
    </row>
    <row r="49" spans="1:4" ht="15">
      <c r="A49" s="152"/>
      <c r="B49" s="158" t="s">
        <v>1272</v>
      </c>
      <c r="C49" s="162">
        <v>5608505</v>
      </c>
      <c r="D49" s="162"/>
    </row>
    <row r="50" spans="1:4" ht="15">
      <c r="A50" s="152"/>
      <c r="B50" s="158" t="s">
        <v>1271</v>
      </c>
      <c r="C50" s="162">
        <v>2435326</v>
      </c>
      <c r="D50" s="162"/>
    </row>
    <row r="51" spans="1:4">
      <c r="A51" s="152"/>
      <c r="B51" s="163" t="s">
        <v>717</v>
      </c>
      <c r="C51" s="162">
        <v>15083</v>
      </c>
      <c r="D51" s="162">
        <v>659183</v>
      </c>
    </row>
    <row r="52" spans="1:4" ht="25.5">
      <c r="A52" s="160" t="s">
        <v>721</v>
      </c>
      <c r="B52" s="153" t="s">
        <v>714</v>
      </c>
      <c r="C52" s="161">
        <f>C53+C54</f>
        <v>7107688</v>
      </c>
      <c r="D52" s="161">
        <f>SUM(D53:D55)</f>
        <v>194263</v>
      </c>
    </row>
    <row r="53" spans="1:4" ht="15">
      <c r="A53" s="152"/>
      <c r="B53" s="158" t="s">
        <v>1272</v>
      </c>
      <c r="C53" s="162">
        <v>4512139</v>
      </c>
      <c r="D53" s="162"/>
    </row>
    <row r="54" spans="1:4" ht="15">
      <c r="A54" s="152"/>
      <c r="B54" s="158" t="s">
        <v>1271</v>
      </c>
      <c r="C54" s="162">
        <v>2595549</v>
      </c>
      <c r="D54" s="162"/>
    </row>
    <row r="55" spans="1:4">
      <c r="A55" s="152"/>
      <c r="B55" s="163" t="s">
        <v>717</v>
      </c>
      <c r="C55" s="231"/>
      <c r="D55" s="162">
        <v>194263</v>
      </c>
    </row>
    <row r="56" spans="1:4" ht="25.5">
      <c r="A56" s="152" t="s">
        <v>1482</v>
      </c>
      <c r="B56" s="153" t="s">
        <v>714</v>
      </c>
      <c r="C56" s="161">
        <f>C57+C58</f>
        <v>9524299.9000000004</v>
      </c>
      <c r="D56" s="161">
        <f>SUM(D57:D59)</f>
        <v>240295</v>
      </c>
    </row>
    <row r="57" spans="1:4" ht="15">
      <c r="A57" s="152"/>
      <c r="B57" s="158" t="s">
        <v>1272</v>
      </c>
      <c r="C57" s="162">
        <f>8588710.2+249282.5+450534.9</f>
        <v>9288527.5999999996</v>
      </c>
      <c r="D57" s="162"/>
    </row>
    <row r="58" spans="1:4" ht="15">
      <c r="A58" s="152"/>
      <c r="B58" s="158" t="s">
        <v>1271</v>
      </c>
      <c r="C58" s="162">
        <v>235772.3</v>
      </c>
      <c r="D58" s="162"/>
    </row>
    <row r="59" spans="1:4">
      <c r="A59" s="152"/>
      <c r="B59" s="163" t="s">
        <v>717</v>
      </c>
      <c r="C59" s="231"/>
      <c r="D59" s="162">
        <v>240295</v>
      </c>
    </row>
    <row r="60" spans="1:4" ht="25.5">
      <c r="A60" s="152" t="s">
        <v>1478</v>
      </c>
      <c r="B60" s="153" t="s">
        <v>714</v>
      </c>
      <c r="C60" s="161">
        <f>C61+C62</f>
        <v>24316917.5</v>
      </c>
      <c r="D60" s="161">
        <f>SUM(D61:D63)</f>
        <v>1558218</v>
      </c>
    </row>
    <row r="61" spans="1:4" ht="15">
      <c r="A61" s="152"/>
      <c r="B61" s="158" t="s">
        <v>1272</v>
      </c>
      <c r="C61" s="162">
        <v>23719408.300000001</v>
      </c>
      <c r="D61" s="162"/>
    </row>
    <row r="62" spans="1:4" ht="15">
      <c r="A62" s="152"/>
      <c r="B62" s="158" t="s">
        <v>1271</v>
      </c>
      <c r="C62" s="162">
        <v>597509.19999999995</v>
      </c>
      <c r="D62" s="162"/>
    </row>
    <row r="63" spans="1:4" ht="15">
      <c r="B63" s="163" t="s">
        <v>717</v>
      </c>
      <c r="C63" s="235"/>
      <c r="D63" s="236">
        <v>1558218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M63"/>
  <sheetViews>
    <sheetView zoomScale="85" zoomScaleNormal="85" workbookViewId="0">
      <selection activeCell="M36" sqref="M36"/>
    </sheetView>
  </sheetViews>
  <sheetFormatPr defaultRowHeight="12.75"/>
  <cols>
    <col min="1" max="1" width="32.5703125" customWidth="1"/>
    <col min="2" max="2" width="18.5703125" customWidth="1"/>
    <col min="3" max="3" width="19.140625" customWidth="1"/>
    <col min="4" max="4" width="15.42578125" customWidth="1"/>
    <col min="8" max="8" width="17.5703125" customWidth="1"/>
    <col min="9" max="9" width="13.85546875" customWidth="1"/>
    <col min="10" max="10" width="21.28515625" customWidth="1"/>
    <col min="11" max="11" width="13.42578125" customWidth="1"/>
    <col min="12" max="12" width="10.7109375" customWidth="1"/>
    <col min="13" max="13" width="22.5703125" customWidth="1"/>
  </cols>
  <sheetData>
    <row r="3" spans="1:13">
      <c r="A3" s="152"/>
      <c r="B3" s="153"/>
      <c r="C3" s="153" t="s">
        <v>1480</v>
      </c>
      <c r="D3" s="153" t="s">
        <v>621</v>
      </c>
      <c r="J3" t="s">
        <v>1574</v>
      </c>
      <c r="K3" s="162">
        <v>289050334.98320001</v>
      </c>
    </row>
    <row r="4" spans="1:13" ht="14.25">
      <c r="B4" s="155" t="s">
        <v>443</v>
      </c>
      <c r="C4" s="58">
        <v>11</v>
      </c>
      <c r="D4" s="58">
        <v>15</v>
      </c>
      <c r="J4">
        <v>15</v>
      </c>
      <c r="K4" s="162">
        <v>15706143.090249998</v>
      </c>
    </row>
    <row r="5" spans="1:13" ht="24.75" customHeight="1">
      <c r="A5" s="229" t="s">
        <v>1572</v>
      </c>
      <c r="B5" s="153" t="s">
        <v>714</v>
      </c>
      <c r="C5" s="156"/>
      <c r="D5" s="156"/>
      <c r="H5">
        <v>11</v>
      </c>
      <c r="I5">
        <v>15</v>
      </c>
      <c r="K5" t="s">
        <v>1575</v>
      </c>
    </row>
    <row r="6" spans="1:13" ht="15">
      <c r="A6" s="152"/>
      <c r="B6" s="158" t="s">
        <v>1272</v>
      </c>
      <c r="C6" s="162">
        <v>7745628.5</v>
      </c>
      <c r="D6" s="159"/>
      <c r="G6" t="s">
        <v>1272</v>
      </c>
      <c r="H6" s="162">
        <f>SUMIF(B5:B63,"ПМСП",C5:C63)</f>
        <v>8599200392.8073483</v>
      </c>
      <c r="I6" s="162">
        <f>SUMIF(B5:B63,"ПМСП",D5:D63)</f>
        <v>1252156</v>
      </c>
      <c r="J6" s="115">
        <f>SUM(H6:I6)</f>
        <v>8600452548.8073483</v>
      </c>
      <c r="K6" s="238">
        <f>J6*100/$J$10</f>
        <v>99.558284865476978</v>
      </c>
      <c r="L6" s="184" t="s">
        <v>1272</v>
      </c>
      <c r="M6" s="170">
        <f>K6*$K$3/100</f>
        <v>287773555.90718973</v>
      </c>
    </row>
    <row r="7" spans="1:13" ht="15">
      <c r="A7" s="152"/>
      <c r="B7" s="158" t="s">
        <v>1271</v>
      </c>
      <c r="C7" s="162"/>
      <c r="D7" s="159"/>
      <c r="G7" t="s">
        <v>1271</v>
      </c>
      <c r="H7" s="162">
        <f>SUMIF(B5:B63,"КДП",C5:C63)</f>
        <v>37093102.88634</v>
      </c>
      <c r="I7" s="162">
        <f>SUMIF(B6:B64,"КДП",D6:D64)</f>
        <v>502758.74300000002</v>
      </c>
      <c r="J7" s="115">
        <f>SUM(H7:I7)</f>
        <v>37595861.62934</v>
      </c>
      <c r="K7" s="238">
        <f>J7*100/$J$10</f>
        <v>0.43520727317726299</v>
      </c>
      <c r="L7" s="184" t="s">
        <v>1271</v>
      </c>
      <c r="M7" s="170">
        <f>K7*$K$3/100</f>
        <v>1257968.0809901292</v>
      </c>
    </row>
    <row r="8" spans="1:13" ht="25.5">
      <c r="A8" s="154" t="s">
        <v>713</v>
      </c>
      <c r="B8" s="153" t="s">
        <v>714</v>
      </c>
      <c r="C8" s="156"/>
      <c r="D8" s="156"/>
      <c r="G8" t="s">
        <v>717</v>
      </c>
      <c r="H8" s="162">
        <f>SUMIF(B5:B63,"Скорая",C5:C63)</f>
        <v>562188.80000000005</v>
      </c>
      <c r="I8" s="162">
        <f>SUMIF(B7:B65,"Скорая",D7:D65)</f>
        <v>0</v>
      </c>
      <c r="J8" s="115">
        <f>SUM(H8:I8)</f>
        <v>562188.80000000005</v>
      </c>
      <c r="K8" s="238">
        <f>J8*100/$J$10</f>
        <v>6.507861345777936E-3</v>
      </c>
      <c r="L8" s="184" t="s">
        <v>717</v>
      </c>
      <c r="M8" s="170">
        <f>K8*$K$3/100</f>
        <v>18810.995020213315</v>
      </c>
    </row>
    <row r="9" spans="1:13" ht="15">
      <c r="A9" s="152"/>
      <c r="B9" s="158" t="s">
        <v>1272</v>
      </c>
      <c r="C9" s="162">
        <v>12143402.800000001</v>
      </c>
      <c r="D9" s="159"/>
      <c r="G9" s="163" t="s">
        <v>718</v>
      </c>
      <c r="H9" s="162">
        <f>SUMIF(B6:B64,"Инфекция",C6:C64)</f>
        <v>0</v>
      </c>
      <c r="I9" s="162">
        <f>SUMIF(B8:B66,"Инфекция",D8:D66)</f>
        <v>0</v>
      </c>
      <c r="J9" s="115">
        <f>SUM(H9:I9)</f>
        <v>0</v>
      </c>
      <c r="K9" s="238">
        <f>J9*100/$J$10</f>
        <v>0</v>
      </c>
      <c r="L9" s="184" t="s">
        <v>718</v>
      </c>
      <c r="M9" s="170">
        <f>K9*$K$3/100</f>
        <v>0</v>
      </c>
    </row>
    <row r="10" spans="1:13" ht="15">
      <c r="A10" s="152"/>
      <c r="B10" s="158" t="s">
        <v>1271</v>
      </c>
      <c r="C10" s="162"/>
      <c r="D10" s="159"/>
      <c r="H10" s="115">
        <f>SUM(H6:H8)</f>
        <v>8636855684.4936867</v>
      </c>
      <c r="I10" s="115">
        <f>SUM(I6:I9)</f>
        <v>1754914.743</v>
      </c>
      <c r="J10" s="115">
        <f>SUM(H10:I10)</f>
        <v>8638610599.2366867</v>
      </c>
      <c r="K10" s="238">
        <f>J10*100/$J$10</f>
        <v>100</v>
      </c>
      <c r="L10" s="157"/>
      <c r="M10" s="170">
        <f>K10*$K$3/100</f>
        <v>289050334.98320001</v>
      </c>
    </row>
    <row r="11" spans="1:13" ht="22.5" customHeight="1">
      <c r="A11" s="160" t="s">
        <v>715</v>
      </c>
      <c r="B11" s="153" t="s">
        <v>714</v>
      </c>
      <c r="C11" s="161">
        <f>C12+C13</f>
        <v>29709318</v>
      </c>
      <c r="D11" s="156">
        <f>D13+D14+D15+D16+D17+D18+D19</f>
        <v>0</v>
      </c>
    </row>
    <row r="12" spans="1:13" ht="15">
      <c r="A12" s="152"/>
      <c r="B12" s="158" t="s">
        <v>1272</v>
      </c>
      <c r="C12" s="162"/>
      <c r="D12" s="162"/>
    </row>
    <row r="13" spans="1:13" ht="15">
      <c r="A13" s="152"/>
      <c r="B13" s="158" t="s">
        <v>1271</v>
      </c>
      <c r="C13" s="162">
        <v>29709318</v>
      </c>
      <c r="D13" s="162"/>
    </row>
    <row r="14" spans="1:13" ht="36" customHeight="1">
      <c r="A14" s="160" t="s">
        <v>716</v>
      </c>
      <c r="B14" s="153" t="s">
        <v>714</v>
      </c>
      <c r="C14" s="161">
        <f>SUM(C15:C16)</f>
        <v>5904550.5999999996</v>
      </c>
      <c r="D14" s="161">
        <f>SUM(D15:D16)</f>
        <v>0</v>
      </c>
    </row>
    <row r="15" spans="1:13" ht="15">
      <c r="A15" s="152"/>
      <c r="B15" s="158" t="s">
        <v>1272</v>
      </c>
      <c r="C15" s="162">
        <v>5904550.5999999996</v>
      </c>
      <c r="D15" s="162"/>
    </row>
    <row r="16" spans="1:13" ht="15">
      <c r="A16" s="152"/>
      <c r="B16" s="158" t="s">
        <v>1271</v>
      </c>
      <c r="C16" s="162"/>
      <c r="D16" s="162"/>
      <c r="H16" s="674">
        <v>2016</v>
      </c>
    </row>
    <row r="17" spans="1:10" ht="25.5" customHeight="1">
      <c r="A17" s="160" t="s">
        <v>719</v>
      </c>
      <c r="B17" s="153" t="s">
        <v>714</v>
      </c>
      <c r="C17" s="161">
        <f>C18+C19+C20+C21</f>
        <v>20060166.400000002</v>
      </c>
      <c r="D17" s="161">
        <f>D20+D21</f>
        <v>0</v>
      </c>
      <c r="H17" s="162" t="s">
        <v>2182</v>
      </c>
      <c r="I17" s="162">
        <v>259074454.67140001</v>
      </c>
      <c r="J17">
        <v>253</v>
      </c>
    </row>
    <row r="18" spans="1:10" ht="15">
      <c r="A18" s="152"/>
      <c r="B18" s="158" t="s">
        <v>1272</v>
      </c>
      <c r="C18" s="162">
        <v>19497977.600000001</v>
      </c>
      <c r="D18" s="162"/>
      <c r="I18" s="162">
        <v>29975880.311799999</v>
      </c>
      <c r="J18">
        <v>353</v>
      </c>
    </row>
    <row r="19" spans="1:10" ht="15">
      <c r="A19" s="152"/>
      <c r="B19" s="158" t="s">
        <v>1271</v>
      </c>
      <c r="C19" s="162"/>
      <c r="D19" s="162"/>
      <c r="H19" t="s">
        <v>2183</v>
      </c>
      <c r="I19" s="161">
        <f>I17+I18</f>
        <v>289050334.98320001</v>
      </c>
    </row>
    <row r="20" spans="1:10">
      <c r="A20" s="152"/>
      <c r="B20" s="163" t="s">
        <v>717</v>
      </c>
      <c r="C20" s="162">
        <v>562188.80000000005</v>
      </c>
      <c r="D20" s="162"/>
      <c r="H20">
        <v>15</v>
      </c>
      <c r="I20" s="162">
        <f>'[3]ГБ 2016'!G193+'[3]ГБ 2016'!G205</f>
        <v>15706143.090249998</v>
      </c>
    </row>
    <row r="21" spans="1:10">
      <c r="A21" s="152"/>
      <c r="B21" s="163" t="s">
        <v>718</v>
      </c>
      <c r="C21" s="162"/>
      <c r="D21" s="162"/>
    </row>
    <row r="22" spans="1:10" ht="25.5">
      <c r="A22" s="160" t="s">
        <v>720</v>
      </c>
      <c r="B22" s="153" t="s">
        <v>714</v>
      </c>
      <c r="C22" s="161">
        <f>SUM(C23:C24)</f>
        <v>16920457.864999998</v>
      </c>
      <c r="D22" s="161">
        <f>SUM(D23:D24)</f>
        <v>0</v>
      </c>
    </row>
    <row r="23" spans="1:10" ht="15">
      <c r="A23" s="152"/>
      <c r="B23" s="158" t="s">
        <v>1272</v>
      </c>
      <c r="C23" s="97">
        <v>16920457.864999998</v>
      </c>
      <c r="D23" s="162"/>
    </row>
    <row r="24" spans="1:10" ht="15">
      <c r="A24" s="152"/>
      <c r="B24" s="158" t="s">
        <v>1271</v>
      </c>
      <c r="C24" s="97"/>
      <c r="D24" s="162"/>
    </row>
    <row r="25" spans="1:10" ht="25.5">
      <c r="A25" s="160" t="s">
        <v>1573</v>
      </c>
      <c r="B25" s="153" t="s">
        <v>714</v>
      </c>
      <c r="C25" s="161"/>
      <c r="D25" s="161"/>
    </row>
    <row r="26" spans="1:10" ht="15">
      <c r="A26" s="152"/>
      <c r="B26" s="158" t="s">
        <v>1272</v>
      </c>
      <c r="C26" s="162">
        <v>8423144161.6599998</v>
      </c>
      <c r="D26" s="162"/>
    </row>
    <row r="27" spans="1:10" ht="15">
      <c r="A27" s="152"/>
      <c r="B27" s="158" t="s">
        <v>1271</v>
      </c>
      <c r="C27" s="162">
        <v>546000.22</v>
      </c>
      <c r="D27" s="162"/>
    </row>
    <row r="28" spans="1:10" ht="25.5">
      <c r="A28" s="160" t="s">
        <v>640</v>
      </c>
      <c r="B28" s="153" t="s">
        <v>714</v>
      </c>
      <c r="C28" s="161"/>
      <c r="D28" s="161"/>
    </row>
    <row r="29" spans="1:10" ht="15">
      <c r="A29" s="152"/>
      <c r="B29" s="158" t="s">
        <v>1272</v>
      </c>
      <c r="C29" s="675">
        <f>10524689-C30</f>
        <v>6841048</v>
      </c>
      <c r="D29" s="675">
        <f>30384-D30</f>
        <v>19750</v>
      </c>
    </row>
    <row r="30" spans="1:10" ht="15">
      <c r="A30" s="152"/>
      <c r="B30" s="158" t="s">
        <v>1271</v>
      </c>
      <c r="C30" s="675">
        <v>3683641</v>
      </c>
      <c r="D30" s="675">
        <v>10634</v>
      </c>
    </row>
    <row r="31" spans="1:10" ht="15">
      <c r="A31" s="152"/>
      <c r="B31" s="163" t="s">
        <v>717</v>
      </c>
      <c r="C31" s="162"/>
      <c r="D31" s="166"/>
    </row>
    <row r="32" spans="1:10" ht="25.5">
      <c r="A32" s="152" t="s">
        <v>1317</v>
      </c>
      <c r="B32" s="153" t="s">
        <v>714</v>
      </c>
      <c r="C32" s="161"/>
      <c r="D32" s="161"/>
    </row>
    <row r="33" spans="1:4" ht="15">
      <c r="A33" s="152"/>
      <c r="B33" s="158" t="s">
        <v>1272</v>
      </c>
      <c r="C33" s="166">
        <v>10614083.688999999</v>
      </c>
      <c r="D33" s="162"/>
    </row>
    <row r="34" spans="1:4" ht="15">
      <c r="A34" s="152"/>
      <c r="B34" s="158" t="s">
        <v>1271</v>
      </c>
      <c r="C34" s="166"/>
      <c r="D34" s="162"/>
    </row>
    <row r="35" spans="1:4" ht="15">
      <c r="A35" s="152"/>
      <c r="B35" s="163" t="s">
        <v>717</v>
      </c>
      <c r="C35" s="166"/>
      <c r="D35" s="166"/>
    </row>
    <row r="36" spans="1:4" ht="14.25">
      <c r="A36" s="152" t="s">
        <v>1481</v>
      </c>
      <c r="B36" s="164" t="s">
        <v>714</v>
      </c>
      <c r="C36" s="165"/>
      <c r="D36" s="156"/>
    </row>
    <row r="37" spans="1:4" ht="15">
      <c r="A37" s="152"/>
      <c r="B37" s="158" t="s">
        <v>1272</v>
      </c>
      <c r="C37" s="676">
        <f>10742099.695+4360131.672+163694.253+621012.925+228509.606+6774.461+164917.379</f>
        <v>16287139.991000002</v>
      </c>
      <c r="D37" s="676"/>
    </row>
    <row r="38" spans="1:4" ht="15">
      <c r="A38" s="152"/>
      <c r="B38" s="158" t="s">
        <v>1271</v>
      </c>
      <c r="C38" s="676">
        <v>20827.080999999998</v>
      </c>
      <c r="D38" s="676">
        <f>466979.461+23035.377+2109.905</f>
        <v>492124.74300000002</v>
      </c>
    </row>
    <row r="39" spans="1:4" ht="14.25">
      <c r="A39" s="152"/>
      <c r="B39" s="163" t="s">
        <v>717</v>
      </c>
      <c r="C39" s="677"/>
      <c r="D39" s="677"/>
    </row>
    <row r="40" spans="1:4" ht="24">
      <c r="A40" s="152" t="s">
        <v>1448</v>
      </c>
      <c r="B40" s="167" t="s">
        <v>714</v>
      </c>
      <c r="C40" s="168"/>
      <c r="D40" s="168"/>
    </row>
    <row r="41" spans="1:4" ht="15">
      <c r="A41" s="152"/>
      <c r="B41" s="158" t="s">
        <v>1272</v>
      </c>
      <c r="C41" s="678">
        <v>11857419.96497</v>
      </c>
      <c r="D41" s="169"/>
    </row>
    <row r="42" spans="1:4" ht="15">
      <c r="A42" s="152"/>
      <c r="B42" s="158" t="s">
        <v>1271</v>
      </c>
      <c r="C42" s="678">
        <v>80713.585340000005</v>
      </c>
      <c r="D42" s="162"/>
    </row>
    <row r="43" spans="1:4">
      <c r="A43" s="152"/>
      <c r="B43" s="163" t="s">
        <v>717</v>
      </c>
      <c r="C43" s="169"/>
      <c r="D43" s="162"/>
    </row>
    <row r="44" spans="1:4" ht="24">
      <c r="A44" s="152" t="s">
        <v>1576</v>
      </c>
      <c r="B44" s="167" t="s">
        <v>714</v>
      </c>
      <c r="C44" s="168"/>
      <c r="D44" s="168"/>
    </row>
    <row r="45" spans="1:4" ht="15">
      <c r="A45" s="152"/>
      <c r="B45" s="158" t="s">
        <v>1272</v>
      </c>
      <c r="C45" s="679">
        <f>14617337+3037-121819</f>
        <v>14498555</v>
      </c>
      <c r="D45" s="675">
        <f>1191562-7560-567799</f>
        <v>616203</v>
      </c>
    </row>
    <row r="46" spans="1:4" ht="15">
      <c r="A46" s="152"/>
      <c r="B46" s="158" t="s">
        <v>1271</v>
      </c>
      <c r="C46" s="162"/>
      <c r="D46" s="162"/>
    </row>
    <row r="47" spans="1:4">
      <c r="A47" s="152"/>
      <c r="B47" s="163" t="s">
        <v>717</v>
      </c>
      <c r="C47" s="162"/>
      <c r="D47" s="162"/>
    </row>
    <row r="48" spans="1:4" ht="25.5">
      <c r="A48" s="152" t="s">
        <v>1571</v>
      </c>
      <c r="B48" s="153" t="s">
        <v>714</v>
      </c>
      <c r="C48" s="161"/>
      <c r="D48" s="161"/>
    </row>
    <row r="49" spans="1:4" ht="15">
      <c r="A49" s="152"/>
      <c r="B49" s="158" t="s">
        <v>1272</v>
      </c>
      <c r="C49" s="679">
        <f>14617337+3037-121819</f>
        <v>14498555</v>
      </c>
      <c r="D49" s="675">
        <f>1191562-7560-567799</f>
        <v>616203</v>
      </c>
    </row>
    <row r="50" spans="1:4" ht="15">
      <c r="A50" s="152"/>
      <c r="B50" s="158" t="s">
        <v>1271</v>
      </c>
      <c r="C50" s="680"/>
      <c r="D50" s="162"/>
    </row>
    <row r="51" spans="1:4">
      <c r="A51" s="152"/>
      <c r="B51" s="163" t="s">
        <v>717</v>
      </c>
      <c r="C51" s="162"/>
      <c r="D51" s="162"/>
    </row>
    <row r="52" spans="1:4" ht="25.5">
      <c r="A52" s="160" t="s">
        <v>721</v>
      </c>
      <c r="B52" s="153" t="s">
        <v>714</v>
      </c>
      <c r="C52" s="161"/>
      <c r="D52" s="161"/>
    </row>
    <row r="53" spans="1:4" ht="15">
      <c r="A53" s="152"/>
      <c r="B53" s="158" t="s">
        <v>1272</v>
      </c>
      <c r="C53" s="675">
        <v>4827988</v>
      </c>
      <c r="D53" s="162"/>
    </row>
    <row r="54" spans="1:4" ht="15">
      <c r="A54" s="152"/>
      <c r="B54" s="158" t="s">
        <v>1271</v>
      </c>
      <c r="C54" s="675">
        <f>3815075-1263452</f>
        <v>2551623</v>
      </c>
      <c r="D54" s="162"/>
    </row>
    <row r="55" spans="1:4">
      <c r="A55" s="152"/>
      <c r="B55" s="163" t="s">
        <v>717</v>
      </c>
      <c r="C55" s="162"/>
      <c r="D55" s="162"/>
    </row>
    <row r="56" spans="1:4" ht="25.5">
      <c r="A56" s="152" t="s">
        <v>1482</v>
      </c>
      <c r="B56" s="153" t="s">
        <v>714</v>
      </c>
      <c r="C56" s="161"/>
      <c r="D56" s="161"/>
    </row>
    <row r="57" spans="1:4" ht="15">
      <c r="A57" s="152"/>
      <c r="B57" s="158" t="s">
        <v>1272</v>
      </c>
      <c r="C57" s="675">
        <v>10047086.4</v>
      </c>
      <c r="D57" s="162"/>
    </row>
    <row r="58" spans="1:4" ht="15">
      <c r="A58" s="152"/>
      <c r="B58" s="158" t="s">
        <v>1271</v>
      </c>
      <c r="C58" s="675">
        <v>500980</v>
      </c>
      <c r="D58" s="162"/>
    </row>
    <row r="59" spans="1:4">
      <c r="A59" s="152"/>
      <c r="B59" s="163" t="s">
        <v>717</v>
      </c>
      <c r="C59" s="162"/>
      <c r="D59" s="162"/>
    </row>
    <row r="60" spans="1:4" ht="25.5">
      <c r="A60" s="152" t="s">
        <v>1478</v>
      </c>
      <c r="B60" s="153" t="s">
        <v>714</v>
      </c>
      <c r="C60" s="161"/>
      <c r="D60" s="161"/>
    </row>
    <row r="61" spans="1:4" ht="15">
      <c r="A61" s="152"/>
      <c r="B61" s="158" t="s">
        <v>1272</v>
      </c>
      <c r="C61" s="681">
        <f>'[4]расш все2016'!$C$6-8.6</f>
        <v>24372337.737379868</v>
      </c>
      <c r="D61" s="162"/>
    </row>
    <row r="62" spans="1:4" ht="15">
      <c r="A62" s="152"/>
      <c r="B62" s="158" t="s">
        <v>1271</v>
      </c>
      <c r="C62" s="162"/>
      <c r="D62" s="162"/>
    </row>
    <row r="63" spans="1:4" ht="15">
      <c r="B63" s="163" t="s">
        <v>717</v>
      </c>
      <c r="C63" s="97"/>
      <c r="D63" s="682"/>
    </row>
  </sheetData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topLeftCell="A2" workbookViewId="0">
      <selection activeCell="O30" sqref="O30"/>
    </sheetView>
  </sheetViews>
  <sheetFormatPr defaultRowHeight="12.75"/>
  <cols>
    <col min="1" max="1" width="27.42578125" style="586" customWidth="1"/>
    <col min="2" max="2" width="2.42578125" style="586" customWidth="1"/>
    <col min="3" max="13" width="9.140625" style="586"/>
    <col min="14" max="15" width="11" style="586" bestFit="1" customWidth="1"/>
    <col min="16" max="16384" width="9.140625" style="586"/>
  </cols>
  <sheetData>
    <row r="1" spans="1:15" hidden="1">
      <c r="A1" s="585" t="e">
        <f ca="1">DotStatQuery(B1)</f>
        <v>#NAME?</v>
      </c>
      <c r="B1" s="585" t="s">
        <v>1971</v>
      </c>
    </row>
    <row r="2" spans="1:15" ht="23.25">
      <c r="A2" s="587" t="s">
        <v>1972</v>
      </c>
    </row>
    <row r="3" spans="1:15">
      <c r="A3" s="1343" t="s">
        <v>1973</v>
      </c>
      <c r="B3" s="1344"/>
      <c r="C3" s="1345" t="s">
        <v>1974</v>
      </c>
      <c r="D3" s="1346"/>
      <c r="E3" s="1346"/>
      <c r="F3" s="1346"/>
      <c r="G3" s="1346"/>
      <c r="H3" s="1346"/>
      <c r="I3" s="1346"/>
      <c r="J3" s="1346"/>
      <c r="K3" s="1346"/>
      <c r="L3" s="1347"/>
    </row>
    <row r="4" spans="1:15">
      <c r="A4" s="1343" t="s">
        <v>1975</v>
      </c>
      <c r="B4" s="1344"/>
      <c r="C4" s="1345" t="s">
        <v>1976</v>
      </c>
      <c r="D4" s="1346"/>
      <c r="E4" s="1346"/>
      <c r="F4" s="1346"/>
      <c r="G4" s="1346"/>
      <c r="H4" s="1346"/>
      <c r="I4" s="1346"/>
      <c r="J4" s="1346"/>
      <c r="K4" s="1346"/>
      <c r="L4" s="1347"/>
    </row>
    <row r="5" spans="1:15">
      <c r="A5" s="1343" t="s">
        <v>1977</v>
      </c>
      <c r="B5" s="1344"/>
      <c r="C5" s="1350" t="s">
        <v>1978</v>
      </c>
      <c r="D5" s="1351"/>
      <c r="E5" s="1351"/>
      <c r="F5" s="1351"/>
      <c r="G5" s="1351"/>
      <c r="H5" s="1351"/>
      <c r="I5" s="1351"/>
      <c r="J5" s="1351"/>
      <c r="K5" s="1351"/>
      <c r="L5" s="1352"/>
    </row>
    <row r="6" spans="1:15">
      <c r="A6" s="1343" t="s">
        <v>1979</v>
      </c>
      <c r="B6" s="1344"/>
      <c r="C6" s="1345" t="s">
        <v>1980</v>
      </c>
      <c r="D6" s="1346"/>
      <c r="E6" s="1346"/>
      <c r="F6" s="1346"/>
      <c r="G6" s="1346"/>
      <c r="H6" s="1346"/>
      <c r="I6" s="1346"/>
      <c r="J6" s="1346"/>
      <c r="K6" s="1346"/>
      <c r="L6" s="1347"/>
    </row>
    <row r="7" spans="1:15">
      <c r="A7" s="1343" t="s">
        <v>1981</v>
      </c>
      <c r="B7" s="1344"/>
      <c r="C7" s="1350" t="s">
        <v>1982</v>
      </c>
      <c r="D7" s="1351"/>
      <c r="E7" s="1351"/>
      <c r="F7" s="1351"/>
      <c r="G7" s="1351"/>
      <c r="H7" s="1351"/>
      <c r="I7" s="1351"/>
      <c r="J7" s="1351"/>
      <c r="K7" s="1351"/>
      <c r="L7" s="1352"/>
    </row>
    <row r="8" spans="1:15">
      <c r="A8" s="1343" t="s">
        <v>1983</v>
      </c>
      <c r="B8" s="1344"/>
      <c r="C8" s="1350" t="s">
        <v>1984</v>
      </c>
      <c r="D8" s="1351"/>
      <c r="E8" s="1351"/>
      <c r="F8" s="1351"/>
      <c r="G8" s="1351"/>
      <c r="H8" s="1351"/>
      <c r="I8" s="1351"/>
      <c r="J8" s="1351"/>
      <c r="K8" s="1351"/>
      <c r="L8" s="1352"/>
    </row>
    <row r="9" spans="1:15">
      <c r="A9" s="1343" t="s">
        <v>1985</v>
      </c>
      <c r="B9" s="1344"/>
      <c r="C9" s="1345" t="s">
        <v>1986</v>
      </c>
      <c r="D9" s="1346"/>
      <c r="E9" s="1346"/>
      <c r="F9" s="1346"/>
      <c r="G9" s="1346"/>
      <c r="H9" s="1346"/>
      <c r="I9" s="1346"/>
      <c r="J9" s="1346"/>
      <c r="K9" s="1346"/>
      <c r="L9" s="1347"/>
    </row>
    <row r="10" spans="1:15">
      <c r="A10" s="1343" t="s">
        <v>1987</v>
      </c>
      <c r="B10" s="1344"/>
      <c r="C10" s="1345" t="s">
        <v>1988</v>
      </c>
      <c r="D10" s="1346"/>
      <c r="E10" s="1346"/>
      <c r="F10" s="1346"/>
      <c r="G10" s="1346"/>
      <c r="H10" s="1346"/>
      <c r="I10" s="1346"/>
      <c r="J10" s="1346"/>
      <c r="K10" s="1346"/>
      <c r="L10" s="1347"/>
    </row>
    <row r="11" spans="1:15">
      <c r="A11" s="1348" t="s">
        <v>1989</v>
      </c>
      <c r="B11" s="1349"/>
      <c r="C11" s="588" t="s">
        <v>1990</v>
      </c>
      <c r="D11" s="588" t="s">
        <v>1991</v>
      </c>
      <c r="E11" s="588" t="s">
        <v>1992</v>
      </c>
      <c r="F11" s="588" t="s">
        <v>1993</v>
      </c>
      <c r="G11" s="588" t="s">
        <v>1994</v>
      </c>
      <c r="H11" s="588" t="s">
        <v>1995</v>
      </c>
      <c r="I11" s="588" t="s">
        <v>1996</v>
      </c>
      <c r="J11" s="588" t="s">
        <v>1997</v>
      </c>
      <c r="K11" s="588" t="s">
        <v>1998</v>
      </c>
      <c r="L11" s="588" t="s">
        <v>1999</v>
      </c>
    </row>
    <row r="12" spans="1:15" ht="13.5">
      <c r="A12" s="589" t="s">
        <v>2000</v>
      </c>
      <c r="B12" s="590" t="s">
        <v>690</v>
      </c>
      <c r="C12" s="590" t="s">
        <v>690</v>
      </c>
      <c r="D12" s="590" t="s">
        <v>690</v>
      </c>
      <c r="E12" s="590" t="s">
        <v>690</v>
      </c>
      <c r="F12" s="590" t="s">
        <v>690</v>
      </c>
      <c r="G12" s="590" t="s">
        <v>690</v>
      </c>
      <c r="H12" s="590" t="s">
        <v>690</v>
      </c>
      <c r="I12" s="590" t="s">
        <v>690</v>
      </c>
      <c r="J12" s="590" t="s">
        <v>690</v>
      </c>
      <c r="K12" s="590" t="s">
        <v>690</v>
      </c>
      <c r="L12" s="590" t="s">
        <v>690</v>
      </c>
    </row>
    <row r="13" spans="1:15" ht="13.5">
      <c r="A13" s="591" t="s">
        <v>2001</v>
      </c>
      <c r="B13" s="590" t="s">
        <v>690</v>
      </c>
      <c r="C13" s="592">
        <v>3.633508</v>
      </c>
      <c r="D13" s="592">
        <v>13.076205</v>
      </c>
      <c r="E13" s="592">
        <v>7.2695069999999999</v>
      </c>
      <c r="F13" s="592">
        <v>57.413369000000003</v>
      </c>
      <c r="G13" s="592">
        <v>14.04555</v>
      </c>
      <c r="H13" s="592">
        <v>12.373849999999999</v>
      </c>
      <c r="I13" s="592">
        <v>17.575780000000002</v>
      </c>
      <c r="J13" s="592">
        <v>6.5940240000000001</v>
      </c>
      <c r="K13" s="592">
        <v>13.217066000000001</v>
      </c>
      <c r="L13" s="592">
        <v>4.0223069999999996</v>
      </c>
      <c r="O13" s="586">
        <f>4022*1000</f>
        <v>4022000</v>
      </c>
    </row>
    <row r="14" spans="1:15" ht="13.5">
      <c r="A14" s="591" t="s">
        <v>2002</v>
      </c>
      <c r="B14" s="590" t="s">
        <v>690</v>
      </c>
      <c r="C14" s="593">
        <v>3.5517020000000001</v>
      </c>
      <c r="D14" s="593">
        <v>2.4091879999999999</v>
      </c>
      <c r="E14" s="593">
        <v>7.2666389999999996</v>
      </c>
      <c r="F14" s="593">
        <v>4.7412280000000004</v>
      </c>
      <c r="G14" s="593">
        <v>3.5444110000000002</v>
      </c>
      <c r="H14" s="593">
        <v>7.2125339999999998</v>
      </c>
      <c r="I14" s="593">
        <v>2.2861639999999999</v>
      </c>
      <c r="J14" s="593">
        <v>6.528314</v>
      </c>
      <c r="K14" s="593">
        <v>6.7176010000000002</v>
      </c>
      <c r="L14" s="593">
        <v>3.04874</v>
      </c>
      <c r="O14" s="586">
        <f>O13*221.73</f>
        <v>891798060</v>
      </c>
    </row>
    <row r="15" spans="1:15" ht="13.5">
      <c r="A15" s="591" t="s">
        <v>2003</v>
      </c>
      <c r="B15" s="590" t="s">
        <v>690</v>
      </c>
      <c r="C15" s="592" t="s">
        <v>2004</v>
      </c>
      <c r="D15" s="592" t="s">
        <v>2004</v>
      </c>
      <c r="E15" s="592" t="s">
        <v>2004</v>
      </c>
      <c r="F15" s="592" t="s">
        <v>2004</v>
      </c>
      <c r="G15" s="592" t="s">
        <v>2004</v>
      </c>
      <c r="H15" s="592" t="s">
        <v>2004</v>
      </c>
      <c r="I15" s="592" t="s">
        <v>2004</v>
      </c>
      <c r="J15" s="592" t="s">
        <v>2004</v>
      </c>
      <c r="K15" s="592" t="s">
        <v>2004</v>
      </c>
      <c r="L15" s="592" t="s">
        <v>2004</v>
      </c>
      <c r="O15" s="597">
        <f>O14/1000</f>
        <v>891798.06</v>
      </c>
    </row>
    <row r="16" spans="1:15" ht="13.5">
      <c r="A16" s="591" t="s">
        <v>2005</v>
      </c>
      <c r="B16" s="590" t="s">
        <v>690</v>
      </c>
      <c r="C16" s="593" t="s">
        <v>2004</v>
      </c>
      <c r="D16" s="593">
        <v>6.9212999999999997E-2</v>
      </c>
      <c r="E16" s="593">
        <v>4.5135000000000002E-2</v>
      </c>
      <c r="F16" s="593">
        <v>5.2207999999999997E-2</v>
      </c>
      <c r="G16" s="593" t="s">
        <v>2004</v>
      </c>
      <c r="H16" s="593" t="s">
        <v>2004</v>
      </c>
      <c r="I16" s="593">
        <v>4.1148999999999998E-2</v>
      </c>
      <c r="J16" s="593" t="s">
        <v>2004</v>
      </c>
      <c r="K16" s="593" t="s">
        <v>2004</v>
      </c>
      <c r="L16" s="593" t="s">
        <v>2004</v>
      </c>
    </row>
    <row r="17" spans="1:12" ht="13.5">
      <c r="A17" s="591" t="s">
        <v>2006</v>
      </c>
      <c r="B17" s="590" t="s">
        <v>690</v>
      </c>
      <c r="C17" s="592" t="s">
        <v>2004</v>
      </c>
      <c r="D17" s="592" t="s">
        <v>2004</v>
      </c>
      <c r="E17" s="592" t="s">
        <v>2004</v>
      </c>
      <c r="F17" s="592" t="s">
        <v>2004</v>
      </c>
      <c r="G17" s="592" t="s">
        <v>2004</v>
      </c>
      <c r="H17" s="592" t="s">
        <v>2004</v>
      </c>
      <c r="I17" s="592" t="s">
        <v>2004</v>
      </c>
      <c r="J17" s="592" t="s">
        <v>2004</v>
      </c>
      <c r="K17" s="592" t="s">
        <v>2004</v>
      </c>
      <c r="L17" s="592" t="s">
        <v>2004</v>
      </c>
    </row>
    <row r="18" spans="1:12" ht="13.5">
      <c r="A18" s="591" t="s">
        <v>2007</v>
      </c>
      <c r="B18" s="590" t="s">
        <v>690</v>
      </c>
      <c r="C18" s="593" t="s">
        <v>2004</v>
      </c>
      <c r="D18" s="593" t="s">
        <v>2004</v>
      </c>
      <c r="E18" s="593" t="s">
        <v>2004</v>
      </c>
      <c r="F18" s="593" t="s">
        <v>2004</v>
      </c>
      <c r="G18" s="593" t="s">
        <v>2004</v>
      </c>
      <c r="H18" s="593" t="s">
        <v>2004</v>
      </c>
      <c r="I18" s="593" t="s">
        <v>2004</v>
      </c>
      <c r="J18" s="593" t="s">
        <v>2004</v>
      </c>
      <c r="K18" s="593" t="s">
        <v>2004</v>
      </c>
      <c r="L18" s="593" t="s">
        <v>2004</v>
      </c>
    </row>
    <row r="19" spans="1:12" ht="13.5">
      <c r="A19" s="591" t="s">
        <v>2008</v>
      </c>
      <c r="B19" s="590" t="s">
        <v>690</v>
      </c>
      <c r="C19" s="592" t="s">
        <v>2004</v>
      </c>
      <c r="D19" s="592" t="s">
        <v>2004</v>
      </c>
      <c r="E19" s="592" t="s">
        <v>2004</v>
      </c>
      <c r="F19" s="592" t="s">
        <v>2004</v>
      </c>
      <c r="G19" s="592" t="s">
        <v>2004</v>
      </c>
      <c r="H19" s="592" t="s">
        <v>2004</v>
      </c>
      <c r="I19" s="592" t="s">
        <v>2004</v>
      </c>
      <c r="J19" s="592" t="s">
        <v>2004</v>
      </c>
      <c r="K19" s="592" t="s">
        <v>2004</v>
      </c>
      <c r="L19" s="592" t="s">
        <v>2004</v>
      </c>
    </row>
    <row r="20" spans="1:12" ht="13.5">
      <c r="A20" s="591" t="s">
        <v>2009</v>
      </c>
      <c r="B20" s="590" t="s">
        <v>690</v>
      </c>
      <c r="C20" s="593" t="s">
        <v>2004</v>
      </c>
      <c r="D20" s="593" t="s">
        <v>2004</v>
      </c>
      <c r="E20" s="593" t="s">
        <v>2004</v>
      </c>
      <c r="F20" s="593" t="s">
        <v>2004</v>
      </c>
      <c r="G20" s="593" t="s">
        <v>2004</v>
      </c>
      <c r="H20" s="593" t="s">
        <v>2004</v>
      </c>
      <c r="I20" s="593" t="s">
        <v>2004</v>
      </c>
      <c r="J20" s="593" t="s">
        <v>2004</v>
      </c>
      <c r="K20" s="593" t="s">
        <v>2004</v>
      </c>
      <c r="L20" s="593" t="s">
        <v>2004</v>
      </c>
    </row>
    <row r="21" spans="1:12" ht="13.5">
      <c r="A21" s="591" t="s">
        <v>2010</v>
      </c>
      <c r="B21" s="590" t="s">
        <v>690</v>
      </c>
      <c r="C21" s="592" t="s">
        <v>2004</v>
      </c>
      <c r="D21" s="592" t="s">
        <v>2004</v>
      </c>
      <c r="E21" s="592" t="s">
        <v>2004</v>
      </c>
      <c r="F21" s="592" t="s">
        <v>2004</v>
      </c>
      <c r="G21" s="592" t="s">
        <v>2004</v>
      </c>
      <c r="H21" s="592" t="s">
        <v>2004</v>
      </c>
      <c r="I21" s="592" t="s">
        <v>2004</v>
      </c>
      <c r="J21" s="592" t="s">
        <v>2004</v>
      </c>
      <c r="K21" s="592" t="s">
        <v>2004</v>
      </c>
      <c r="L21" s="592" t="s">
        <v>2004</v>
      </c>
    </row>
    <row r="22" spans="1:12" ht="13.5">
      <c r="A22" s="591" t="s">
        <v>2011</v>
      </c>
      <c r="B22" s="590" t="s">
        <v>690</v>
      </c>
      <c r="C22" s="593">
        <v>1.4619999999999999E-2</v>
      </c>
      <c r="D22" s="593" t="s">
        <v>2004</v>
      </c>
      <c r="E22" s="593" t="s">
        <v>2004</v>
      </c>
      <c r="F22" s="593" t="s">
        <v>2004</v>
      </c>
      <c r="G22" s="593" t="s">
        <v>2004</v>
      </c>
      <c r="H22" s="593">
        <v>4.1149999999999997E-3</v>
      </c>
      <c r="I22" s="593" t="s">
        <v>2004</v>
      </c>
      <c r="J22" s="593" t="s">
        <v>2004</v>
      </c>
      <c r="K22" s="593" t="s">
        <v>2004</v>
      </c>
      <c r="L22" s="593" t="s">
        <v>2004</v>
      </c>
    </row>
    <row r="23" spans="1:12" ht="13.5">
      <c r="A23" s="591" t="s">
        <v>2012</v>
      </c>
      <c r="B23" s="590" t="s">
        <v>690</v>
      </c>
      <c r="C23" s="592" t="s">
        <v>2004</v>
      </c>
      <c r="D23" s="592">
        <v>2.8660000000000001E-2</v>
      </c>
      <c r="E23" s="592">
        <v>4.4246780000000001</v>
      </c>
      <c r="F23" s="592" t="s">
        <v>2004</v>
      </c>
      <c r="G23" s="592" t="s">
        <v>2004</v>
      </c>
      <c r="H23" s="592" t="s">
        <v>2004</v>
      </c>
      <c r="I23" s="592">
        <v>2.2831000000000001E-2</v>
      </c>
      <c r="J23" s="592">
        <v>0.17546100000000001</v>
      </c>
      <c r="K23" s="592">
        <v>0.14283999999999999</v>
      </c>
      <c r="L23" s="592">
        <v>0.38781300000000002</v>
      </c>
    </row>
    <row r="24" spans="1:12" ht="13.5">
      <c r="A24" s="591" t="s">
        <v>2013</v>
      </c>
      <c r="B24" s="590" t="s">
        <v>690</v>
      </c>
      <c r="C24" s="593">
        <v>2.4315E-2</v>
      </c>
      <c r="D24" s="593">
        <v>8.9110000000000005E-3</v>
      </c>
      <c r="E24" s="593" t="s">
        <v>2004</v>
      </c>
      <c r="F24" s="593" t="s">
        <v>2004</v>
      </c>
      <c r="G24" s="593" t="s">
        <v>2004</v>
      </c>
      <c r="H24" s="593">
        <v>5.522E-3</v>
      </c>
      <c r="I24" s="593" t="s">
        <v>2004</v>
      </c>
      <c r="J24" s="593">
        <v>5.6880000000000003E-3</v>
      </c>
      <c r="K24" s="593">
        <v>4.1060000000000003E-3</v>
      </c>
      <c r="L24" s="593" t="s">
        <v>2004</v>
      </c>
    </row>
    <row r="25" spans="1:12" ht="13.5">
      <c r="A25" s="591" t="s">
        <v>2014</v>
      </c>
      <c r="B25" s="590" t="s">
        <v>690</v>
      </c>
      <c r="C25" s="592" t="s">
        <v>2004</v>
      </c>
      <c r="D25" s="592" t="s">
        <v>2004</v>
      </c>
      <c r="E25" s="592" t="s">
        <v>2004</v>
      </c>
      <c r="F25" s="592" t="s">
        <v>2004</v>
      </c>
      <c r="G25" s="592" t="s">
        <v>2004</v>
      </c>
      <c r="H25" s="592" t="s">
        <v>2004</v>
      </c>
      <c r="I25" s="592" t="s">
        <v>2004</v>
      </c>
      <c r="J25" s="592" t="s">
        <v>2004</v>
      </c>
      <c r="K25" s="592" t="s">
        <v>2004</v>
      </c>
      <c r="L25" s="592" t="s">
        <v>2004</v>
      </c>
    </row>
    <row r="26" spans="1:12" ht="13.5">
      <c r="A26" s="591" t="s">
        <v>2015</v>
      </c>
      <c r="B26" s="590" t="s">
        <v>690</v>
      </c>
      <c r="C26" s="593" t="s">
        <v>2004</v>
      </c>
      <c r="D26" s="593" t="s">
        <v>2004</v>
      </c>
      <c r="E26" s="593" t="s">
        <v>2004</v>
      </c>
      <c r="F26" s="593" t="s">
        <v>2004</v>
      </c>
      <c r="G26" s="593" t="s">
        <v>2004</v>
      </c>
      <c r="H26" s="593" t="s">
        <v>2004</v>
      </c>
      <c r="I26" s="593" t="s">
        <v>2004</v>
      </c>
      <c r="J26" s="593" t="s">
        <v>2004</v>
      </c>
      <c r="K26" s="593" t="s">
        <v>2004</v>
      </c>
      <c r="L26" s="593" t="s">
        <v>2004</v>
      </c>
    </row>
    <row r="27" spans="1:12" ht="13.5">
      <c r="A27" s="591" t="s">
        <v>2016</v>
      </c>
      <c r="B27" s="590" t="s">
        <v>690</v>
      </c>
      <c r="C27" s="592" t="s">
        <v>2004</v>
      </c>
      <c r="D27" s="592" t="s">
        <v>2004</v>
      </c>
      <c r="E27" s="592" t="s">
        <v>2004</v>
      </c>
      <c r="F27" s="592" t="s">
        <v>2004</v>
      </c>
      <c r="G27" s="592" t="s">
        <v>2004</v>
      </c>
      <c r="H27" s="592" t="s">
        <v>2004</v>
      </c>
      <c r="I27" s="592" t="s">
        <v>2004</v>
      </c>
      <c r="J27" s="592" t="s">
        <v>2004</v>
      </c>
      <c r="K27" s="592" t="s">
        <v>2004</v>
      </c>
      <c r="L27" s="592" t="s">
        <v>2004</v>
      </c>
    </row>
    <row r="28" spans="1:12" ht="13.5">
      <c r="A28" s="591" t="s">
        <v>2017</v>
      </c>
      <c r="B28" s="590" t="s">
        <v>690</v>
      </c>
      <c r="C28" s="593" t="s">
        <v>2004</v>
      </c>
      <c r="D28" s="593" t="s">
        <v>2004</v>
      </c>
      <c r="E28" s="593">
        <v>2.3984999999999999E-2</v>
      </c>
      <c r="F28" s="593" t="s">
        <v>2004</v>
      </c>
      <c r="G28" s="593" t="s">
        <v>2004</v>
      </c>
      <c r="H28" s="593" t="s">
        <v>2004</v>
      </c>
      <c r="I28" s="593" t="s">
        <v>2004</v>
      </c>
      <c r="J28" s="593" t="s">
        <v>2004</v>
      </c>
      <c r="K28" s="593" t="s">
        <v>2004</v>
      </c>
      <c r="L28" s="593" t="s">
        <v>2004</v>
      </c>
    </row>
    <row r="29" spans="1:12" ht="13.5">
      <c r="A29" s="591" t="s">
        <v>2018</v>
      </c>
      <c r="B29" s="590" t="s">
        <v>690</v>
      </c>
      <c r="C29" s="592">
        <v>0.13955100000000001</v>
      </c>
      <c r="D29" s="592" t="s">
        <v>2004</v>
      </c>
      <c r="E29" s="592">
        <v>6.7608000000000001E-2</v>
      </c>
      <c r="F29" s="592">
        <v>2.9076999999999999E-2</v>
      </c>
      <c r="G29" s="592">
        <v>2.2067E-2</v>
      </c>
      <c r="H29" s="592">
        <v>0.15406600000000001</v>
      </c>
      <c r="I29" s="592">
        <v>1.3129999999999999E-2</v>
      </c>
      <c r="J29" s="592">
        <v>0.113008</v>
      </c>
      <c r="K29" s="592">
        <v>0.28677999999999998</v>
      </c>
      <c r="L29" s="592">
        <v>0.212225</v>
      </c>
    </row>
    <row r="30" spans="1:12" ht="13.5">
      <c r="A30" s="591" t="s">
        <v>2019</v>
      </c>
      <c r="B30" s="590" t="s">
        <v>690</v>
      </c>
      <c r="C30" s="593">
        <v>0.30693700000000002</v>
      </c>
      <c r="D30" s="593">
        <v>0.23782200000000001</v>
      </c>
      <c r="E30" s="593">
        <v>0.15661900000000001</v>
      </c>
      <c r="F30" s="593">
        <v>2.6700499999999998</v>
      </c>
      <c r="G30" s="593">
        <v>0.21845800000000001</v>
      </c>
      <c r="H30" s="593">
        <v>0.122696</v>
      </c>
      <c r="I30" s="593">
        <v>6.2619999999999995E-2</v>
      </c>
      <c r="J30" s="593">
        <v>9.0880000000000006E-3</v>
      </c>
      <c r="K30" s="593">
        <v>1.9118470000000001</v>
      </c>
      <c r="L30" s="593" t="s">
        <v>2004</v>
      </c>
    </row>
    <row r="31" spans="1:12" ht="13.5">
      <c r="A31" s="591" t="s">
        <v>2020</v>
      </c>
      <c r="B31" s="590" t="s">
        <v>690</v>
      </c>
      <c r="C31" s="592" t="s">
        <v>2004</v>
      </c>
      <c r="D31" s="592" t="s">
        <v>2004</v>
      </c>
      <c r="E31" s="592" t="s">
        <v>2004</v>
      </c>
      <c r="F31" s="592">
        <v>1.7930000000000001E-2</v>
      </c>
      <c r="G31" s="592" t="s">
        <v>2004</v>
      </c>
      <c r="H31" s="592">
        <v>1.6386000000000001E-2</v>
      </c>
      <c r="I31" s="592" t="s">
        <v>2004</v>
      </c>
      <c r="J31" s="592" t="s">
        <v>2004</v>
      </c>
      <c r="K31" s="592" t="s">
        <v>2004</v>
      </c>
      <c r="L31" s="592" t="s">
        <v>2004</v>
      </c>
    </row>
    <row r="32" spans="1:12" ht="13.5">
      <c r="A32" s="591" t="s">
        <v>2021</v>
      </c>
      <c r="B32" s="590" t="s">
        <v>690</v>
      </c>
      <c r="C32" s="593" t="s">
        <v>2004</v>
      </c>
      <c r="D32" s="593" t="s">
        <v>2004</v>
      </c>
      <c r="E32" s="593" t="s">
        <v>2004</v>
      </c>
      <c r="F32" s="593" t="s">
        <v>2004</v>
      </c>
      <c r="G32" s="593" t="s">
        <v>2004</v>
      </c>
      <c r="H32" s="593" t="s">
        <v>2004</v>
      </c>
      <c r="I32" s="593" t="s">
        <v>2004</v>
      </c>
      <c r="J32" s="593" t="s">
        <v>2004</v>
      </c>
      <c r="K32" s="593" t="s">
        <v>2004</v>
      </c>
      <c r="L32" s="593" t="s">
        <v>2004</v>
      </c>
    </row>
    <row r="33" spans="1:12" ht="13.5">
      <c r="A33" s="591" t="s">
        <v>2022</v>
      </c>
      <c r="B33" s="590" t="s">
        <v>690</v>
      </c>
      <c r="C33" s="592" t="s">
        <v>2004</v>
      </c>
      <c r="D33" s="592" t="s">
        <v>2004</v>
      </c>
      <c r="E33" s="592" t="s">
        <v>2004</v>
      </c>
      <c r="F33" s="592" t="s">
        <v>2004</v>
      </c>
      <c r="G33" s="592" t="s">
        <v>2004</v>
      </c>
      <c r="H33" s="592" t="s">
        <v>2004</v>
      </c>
      <c r="I33" s="592" t="s">
        <v>2004</v>
      </c>
      <c r="J33" s="592" t="s">
        <v>2004</v>
      </c>
      <c r="K33" s="592" t="s">
        <v>2004</v>
      </c>
      <c r="L33" s="592" t="s">
        <v>2004</v>
      </c>
    </row>
    <row r="34" spans="1:12" ht="13.5">
      <c r="A34" s="591" t="s">
        <v>2023</v>
      </c>
      <c r="B34" s="590" t="s">
        <v>690</v>
      </c>
      <c r="C34" s="593" t="s">
        <v>2004</v>
      </c>
      <c r="D34" s="593" t="s">
        <v>2004</v>
      </c>
      <c r="E34" s="593" t="s">
        <v>2004</v>
      </c>
      <c r="F34" s="593" t="s">
        <v>2004</v>
      </c>
      <c r="G34" s="593" t="s">
        <v>2004</v>
      </c>
      <c r="H34" s="593" t="s">
        <v>2004</v>
      </c>
      <c r="I34" s="593" t="s">
        <v>2004</v>
      </c>
      <c r="J34" s="593" t="s">
        <v>2004</v>
      </c>
      <c r="K34" s="593" t="s">
        <v>2004</v>
      </c>
      <c r="L34" s="593" t="s">
        <v>2004</v>
      </c>
    </row>
    <row r="35" spans="1:12" ht="13.5">
      <c r="A35" s="591" t="s">
        <v>2024</v>
      </c>
      <c r="B35" s="590" t="s">
        <v>690</v>
      </c>
      <c r="C35" s="592" t="s">
        <v>2004</v>
      </c>
      <c r="D35" s="592" t="s">
        <v>2004</v>
      </c>
      <c r="E35" s="592" t="s">
        <v>2004</v>
      </c>
      <c r="F35" s="592" t="s">
        <v>2004</v>
      </c>
      <c r="G35" s="592" t="s">
        <v>2004</v>
      </c>
      <c r="H35" s="592" t="s">
        <v>2004</v>
      </c>
      <c r="I35" s="592" t="s">
        <v>2004</v>
      </c>
      <c r="J35" s="592" t="s">
        <v>2004</v>
      </c>
      <c r="K35" s="592" t="s">
        <v>2004</v>
      </c>
      <c r="L35" s="592" t="s">
        <v>2004</v>
      </c>
    </row>
    <row r="36" spans="1:12" ht="13.5">
      <c r="A36" s="591" t="s">
        <v>2025</v>
      </c>
      <c r="B36" s="590" t="s">
        <v>690</v>
      </c>
      <c r="C36" s="593" t="s">
        <v>2004</v>
      </c>
      <c r="D36" s="593" t="s">
        <v>2004</v>
      </c>
      <c r="E36" s="593" t="s">
        <v>2004</v>
      </c>
      <c r="F36" s="593" t="s">
        <v>2004</v>
      </c>
      <c r="G36" s="593" t="s">
        <v>2004</v>
      </c>
      <c r="H36" s="593" t="s">
        <v>2004</v>
      </c>
      <c r="I36" s="593" t="s">
        <v>2004</v>
      </c>
      <c r="J36" s="593" t="s">
        <v>2004</v>
      </c>
      <c r="K36" s="593" t="s">
        <v>2004</v>
      </c>
      <c r="L36" s="593" t="s">
        <v>2004</v>
      </c>
    </row>
    <row r="37" spans="1:12" ht="13.5">
      <c r="A37" s="591" t="s">
        <v>2026</v>
      </c>
      <c r="B37" s="590" t="s">
        <v>690</v>
      </c>
      <c r="C37" s="592" t="s">
        <v>2004</v>
      </c>
      <c r="D37" s="592" t="s">
        <v>2004</v>
      </c>
      <c r="E37" s="592" t="s">
        <v>2004</v>
      </c>
      <c r="F37" s="592" t="s">
        <v>2004</v>
      </c>
      <c r="G37" s="592" t="s">
        <v>2004</v>
      </c>
      <c r="H37" s="592" t="s">
        <v>2004</v>
      </c>
      <c r="I37" s="592" t="s">
        <v>2004</v>
      </c>
      <c r="J37" s="592" t="s">
        <v>2004</v>
      </c>
      <c r="K37" s="592">
        <v>3.32E-3</v>
      </c>
      <c r="L37" s="592" t="s">
        <v>2004</v>
      </c>
    </row>
    <row r="38" spans="1:12" ht="13.5">
      <c r="A38" s="591" t="s">
        <v>2027</v>
      </c>
      <c r="B38" s="590" t="s">
        <v>690</v>
      </c>
      <c r="C38" s="593" t="s">
        <v>2004</v>
      </c>
      <c r="D38" s="593" t="s">
        <v>2004</v>
      </c>
      <c r="E38" s="593" t="s">
        <v>2004</v>
      </c>
      <c r="F38" s="593" t="s">
        <v>2004</v>
      </c>
      <c r="G38" s="593" t="s">
        <v>2004</v>
      </c>
      <c r="H38" s="593" t="s">
        <v>2004</v>
      </c>
      <c r="I38" s="593" t="s">
        <v>2004</v>
      </c>
      <c r="J38" s="593" t="s">
        <v>2004</v>
      </c>
      <c r="K38" s="593" t="s">
        <v>2004</v>
      </c>
      <c r="L38" s="593" t="s">
        <v>2004</v>
      </c>
    </row>
    <row r="39" spans="1:12" ht="13.5">
      <c r="A39" s="591" t="s">
        <v>2028</v>
      </c>
      <c r="B39" s="590" t="s">
        <v>690</v>
      </c>
      <c r="C39" s="592" t="s">
        <v>2004</v>
      </c>
      <c r="D39" s="592" t="s">
        <v>2004</v>
      </c>
      <c r="E39" s="592" t="s">
        <v>2004</v>
      </c>
      <c r="F39" s="592" t="s">
        <v>2004</v>
      </c>
      <c r="G39" s="592" t="s">
        <v>2004</v>
      </c>
      <c r="H39" s="592" t="s">
        <v>2004</v>
      </c>
      <c r="I39" s="592" t="s">
        <v>2004</v>
      </c>
      <c r="J39" s="592" t="s">
        <v>2004</v>
      </c>
      <c r="K39" s="592" t="s">
        <v>2004</v>
      </c>
      <c r="L39" s="592" t="s">
        <v>2004</v>
      </c>
    </row>
    <row r="40" spans="1:12" ht="13.5">
      <c r="A40" s="591" t="s">
        <v>2029</v>
      </c>
      <c r="B40" s="590" t="s">
        <v>690</v>
      </c>
      <c r="C40" s="593" t="s">
        <v>2004</v>
      </c>
      <c r="D40" s="593" t="s">
        <v>2004</v>
      </c>
      <c r="E40" s="593" t="s">
        <v>2004</v>
      </c>
      <c r="F40" s="593" t="s">
        <v>2004</v>
      </c>
      <c r="G40" s="593" t="s">
        <v>2004</v>
      </c>
      <c r="H40" s="593" t="s">
        <v>2004</v>
      </c>
      <c r="I40" s="593" t="s">
        <v>2004</v>
      </c>
      <c r="J40" s="593" t="s">
        <v>2004</v>
      </c>
      <c r="K40" s="593" t="s">
        <v>2004</v>
      </c>
      <c r="L40" s="593" t="s">
        <v>2004</v>
      </c>
    </row>
    <row r="41" spans="1:12" ht="13.5">
      <c r="A41" s="591" t="s">
        <v>2030</v>
      </c>
      <c r="B41" s="590" t="s">
        <v>690</v>
      </c>
      <c r="C41" s="592" t="s">
        <v>2004</v>
      </c>
      <c r="D41" s="592" t="s">
        <v>2004</v>
      </c>
      <c r="E41" s="592" t="s">
        <v>2004</v>
      </c>
      <c r="F41" s="592" t="s">
        <v>2004</v>
      </c>
      <c r="G41" s="592" t="s">
        <v>2004</v>
      </c>
      <c r="H41" s="592" t="s">
        <v>2004</v>
      </c>
      <c r="I41" s="592" t="s">
        <v>2004</v>
      </c>
      <c r="J41" s="592" t="s">
        <v>2004</v>
      </c>
      <c r="K41" s="592" t="s">
        <v>2004</v>
      </c>
      <c r="L41" s="592" t="s">
        <v>2004</v>
      </c>
    </row>
    <row r="42" spans="1:12" ht="13.5">
      <c r="A42" s="591" t="s">
        <v>2031</v>
      </c>
      <c r="B42" s="590" t="s">
        <v>690</v>
      </c>
      <c r="C42" s="593" t="s">
        <v>2004</v>
      </c>
      <c r="D42" s="593" t="s">
        <v>2004</v>
      </c>
      <c r="E42" s="593" t="s">
        <v>2004</v>
      </c>
      <c r="F42" s="593" t="s">
        <v>2004</v>
      </c>
      <c r="G42" s="593" t="s">
        <v>2004</v>
      </c>
      <c r="H42" s="593" t="s">
        <v>2004</v>
      </c>
      <c r="I42" s="593" t="s">
        <v>2004</v>
      </c>
      <c r="J42" s="593" t="s">
        <v>2004</v>
      </c>
      <c r="K42" s="593" t="s">
        <v>2004</v>
      </c>
      <c r="L42" s="593" t="s">
        <v>2004</v>
      </c>
    </row>
    <row r="43" spans="1:12" ht="13.5">
      <c r="A43" s="591" t="s">
        <v>2032</v>
      </c>
      <c r="B43" s="590" t="s">
        <v>690</v>
      </c>
      <c r="C43" s="592">
        <v>3.0662790000000002</v>
      </c>
      <c r="D43" s="592">
        <v>2.0645820000000001</v>
      </c>
      <c r="E43" s="592">
        <v>2.5486119999999999</v>
      </c>
      <c r="F43" s="592">
        <v>1.9719629999999999</v>
      </c>
      <c r="G43" s="592">
        <v>3.3038859999999999</v>
      </c>
      <c r="H43" s="592">
        <v>6.9097489999999997</v>
      </c>
      <c r="I43" s="592">
        <v>2.146433</v>
      </c>
      <c r="J43" s="592">
        <v>6.2250680000000003</v>
      </c>
      <c r="K43" s="592">
        <v>4.3687069999999997</v>
      </c>
      <c r="L43" s="592">
        <v>2.4487019999999999</v>
      </c>
    </row>
    <row r="44" spans="1:12" ht="13.5">
      <c r="A44" s="591" t="s">
        <v>2033</v>
      </c>
      <c r="B44" s="590" t="s">
        <v>690</v>
      </c>
      <c r="C44" s="593">
        <v>8.1806000000000004E-2</v>
      </c>
      <c r="D44" s="593">
        <v>10.667017</v>
      </c>
      <c r="E44" s="593">
        <v>2.8679999999999999E-3</v>
      </c>
      <c r="F44" s="593">
        <v>32.227071000000002</v>
      </c>
      <c r="G44" s="593">
        <v>0.125697</v>
      </c>
      <c r="H44" s="593">
        <v>4.6745700000000001</v>
      </c>
      <c r="I44" s="593">
        <v>13.329845000000001</v>
      </c>
      <c r="J44" s="593">
        <v>6.5710000000000005E-2</v>
      </c>
      <c r="K44" s="593">
        <v>6.4994649999999998</v>
      </c>
      <c r="L44" s="593">
        <v>0.663246</v>
      </c>
    </row>
    <row r="45" spans="1:12" ht="13.5">
      <c r="A45" s="591" t="s">
        <v>2034</v>
      </c>
      <c r="B45" s="590" t="s">
        <v>690</v>
      </c>
      <c r="C45" s="592" t="s">
        <v>2004</v>
      </c>
      <c r="D45" s="592">
        <v>5.4660450000000003</v>
      </c>
      <c r="E45" s="592" t="s">
        <v>2004</v>
      </c>
      <c r="F45" s="592" t="s">
        <v>2004</v>
      </c>
      <c r="G45" s="592" t="s">
        <v>2004</v>
      </c>
      <c r="H45" s="592" t="s">
        <v>2004</v>
      </c>
      <c r="I45" s="592" t="s">
        <v>2004</v>
      </c>
      <c r="J45" s="592" t="s">
        <v>2004</v>
      </c>
      <c r="K45" s="592" t="s">
        <v>2004</v>
      </c>
      <c r="L45" s="592" t="s">
        <v>2004</v>
      </c>
    </row>
    <row r="46" spans="1:12" ht="21">
      <c r="A46" s="591" t="s">
        <v>2035</v>
      </c>
      <c r="B46" s="590" t="s">
        <v>690</v>
      </c>
      <c r="C46" s="593" t="s">
        <v>2004</v>
      </c>
      <c r="D46" s="593" t="s">
        <v>2004</v>
      </c>
      <c r="E46" s="593" t="s">
        <v>2004</v>
      </c>
      <c r="F46" s="593" t="s">
        <v>2004</v>
      </c>
      <c r="G46" s="593" t="s">
        <v>2004</v>
      </c>
      <c r="H46" s="593" t="s">
        <v>2004</v>
      </c>
      <c r="I46" s="593" t="s">
        <v>2004</v>
      </c>
      <c r="J46" s="593" t="s">
        <v>2004</v>
      </c>
      <c r="K46" s="593" t="s">
        <v>2004</v>
      </c>
      <c r="L46" s="593" t="s">
        <v>2004</v>
      </c>
    </row>
    <row r="47" spans="1:12" ht="21">
      <c r="A47" s="594" t="s">
        <v>2036</v>
      </c>
      <c r="B47" s="590" t="s">
        <v>690</v>
      </c>
      <c r="C47" s="592" t="s">
        <v>2004</v>
      </c>
      <c r="D47" s="592" t="s">
        <v>2004</v>
      </c>
      <c r="E47" s="592" t="s">
        <v>2004</v>
      </c>
      <c r="F47" s="592" t="s">
        <v>2004</v>
      </c>
      <c r="G47" s="592" t="s">
        <v>2004</v>
      </c>
      <c r="H47" s="592" t="s">
        <v>2004</v>
      </c>
      <c r="I47" s="592" t="s">
        <v>2004</v>
      </c>
      <c r="J47" s="592" t="s">
        <v>2004</v>
      </c>
      <c r="K47" s="592" t="s">
        <v>2004</v>
      </c>
      <c r="L47" s="592" t="s">
        <v>2004</v>
      </c>
    </row>
    <row r="48" spans="1:12" ht="21">
      <c r="A48" s="591" t="s">
        <v>2037</v>
      </c>
      <c r="B48" s="590" t="s">
        <v>690</v>
      </c>
      <c r="C48" s="593" t="s">
        <v>2004</v>
      </c>
      <c r="D48" s="593" t="s">
        <v>2004</v>
      </c>
      <c r="E48" s="593" t="s">
        <v>2004</v>
      </c>
      <c r="F48" s="593" t="s">
        <v>2004</v>
      </c>
      <c r="G48" s="593" t="s">
        <v>2004</v>
      </c>
      <c r="H48" s="593" t="s">
        <v>2004</v>
      </c>
      <c r="I48" s="593" t="s">
        <v>2004</v>
      </c>
      <c r="J48" s="593" t="s">
        <v>2004</v>
      </c>
      <c r="K48" s="593" t="s">
        <v>2004</v>
      </c>
      <c r="L48" s="593" t="s">
        <v>2004</v>
      </c>
    </row>
    <row r="49" spans="1:12" ht="21">
      <c r="A49" s="591" t="s">
        <v>2038</v>
      </c>
      <c r="B49" s="590" t="s">
        <v>690</v>
      </c>
      <c r="C49" s="592" t="s">
        <v>2004</v>
      </c>
      <c r="D49" s="592" t="s">
        <v>2004</v>
      </c>
      <c r="E49" s="592" t="s">
        <v>2004</v>
      </c>
      <c r="F49" s="592" t="s">
        <v>2004</v>
      </c>
      <c r="G49" s="592" t="s">
        <v>2004</v>
      </c>
      <c r="H49" s="592" t="s">
        <v>2004</v>
      </c>
      <c r="I49" s="592" t="s">
        <v>2004</v>
      </c>
      <c r="J49" s="592" t="s">
        <v>2004</v>
      </c>
      <c r="K49" s="592" t="s">
        <v>2004</v>
      </c>
      <c r="L49" s="592" t="s">
        <v>2004</v>
      </c>
    </row>
    <row r="50" spans="1:12" ht="21">
      <c r="A50" s="594" t="s">
        <v>2039</v>
      </c>
      <c r="B50" s="590" t="s">
        <v>690</v>
      </c>
      <c r="C50" s="593" t="s">
        <v>2004</v>
      </c>
      <c r="D50" s="593" t="s">
        <v>2004</v>
      </c>
      <c r="E50" s="593" t="s">
        <v>2004</v>
      </c>
      <c r="F50" s="593" t="s">
        <v>2004</v>
      </c>
      <c r="G50" s="593" t="s">
        <v>2004</v>
      </c>
      <c r="H50" s="593" t="s">
        <v>2004</v>
      </c>
      <c r="I50" s="593" t="s">
        <v>2004</v>
      </c>
      <c r="J50" s="593" t="s">
        <v>2004</v>
      </c>
      <c r="K50" s="593" t="s">
        <v>2004</v>
      </c>
      <c r="L50" s="593" t="s">
        <v>2004</v>
      </c>
    </row>
    <row r="51" spans="1:12" ht="21">
      <c r="A51" s="594" t="s">
        <v>2040</v>
      </c>
      <c r="B51" s="590" t="s">
        <v>690</v>
      </c>
      <c r="C51" s="592" t="s">
        <v>2004</v>
      </c>
      <c r="D51" s="592" t="s">
        <v>2004</v>
      </c>
      <c r="E51" s="592" t="s">
        <v>2004</v>
      </c>
      <c r="F51" s="592" t="s">
        <v>2004</v>
      </c>
      <c r="G51" s="592" t="s">
        <v>2004</v>
      </c>
      <c r="H51" s="592" t="s">
        <v>2004</v>
      </c>
      <c r="I51" s="592" t="s">
        <v>2004</v>
      </c>
      <c r="J51" s="592" t="s">
        <v>2004</v>
      </c>
      <c r="K51" s="592" t="s">
        <v>2004</v>
      </c>
      <c r="L51" s="592" t="s">
        <v>2004</v>
      </c>
    </row>
    <row r="52" spans="1:12" ht="21">
      <c r="A52" s="591" t="s">
        <v>2041</v>
      </c>
      <c r="B52" s="590" t="s">
        <v>690</v>
      </c>
      <c r="C52" s="593" t="s">
        <v>2004</v>
      </c>
      <c r="D52" s="593" t="s">
        <v>2004</v>
      </c>
      <c r="E52" s="593" t="s">
        <v>2004</v>
      </c>
      <c r="F52" s="593" t="s">
        <v>2004</v>
      </c>
      <c r="G52" s="593" t="s">
        <v>2004</v>
      </c>
      <c r="H52" s="593" t="s">
        <v>2004</v>
      </c>
      <c r="I52" s="593" t="s">
        <v>2004</v>
      </c>
      <c r="J52" s="593" t="s">
        <v>2004</v>
      </c>
      <c r="K52" s="593" t="s">
        <v>2004</v>
      </c>
      <c r="L52" s="593" t="s">
        <v>2004</v>
      </c>
    </row>
    <row r="53" spans="1:12" ht="21">
      <c r="A53" s="594" t="s">
        <v>2042</v>
      </c>
      <c r="B53" s="590" t="s">
        <v>690</v>
      </c>
      <c r="C53" s="592" t="s">
        <v>2004</v>
      </c>
      <c r="D53" s="592" t="s">
        <v>2004</v>
      </c>
      <c r="E53" s="592" t="s">
        <v>2004</v>
      </c>
      <c r="F53" s="592" t="s">
        <v>2004</v>
      </c>
      <c r="G53" s="592" t="s">
        <v>2004</v>
      </c>
      <c r="H53" s="592" t="s">
        <v>2004</v>
      </c>
      <c r="I53" s="592" t="s">
        <v>2004</v>
      </c>
      <c r="J53" s="592" t="s">
        <v>2004</v>
      </c>
      <c r="K53" s="592" t="s">
        <v>2004</v>
      </c>
      <c r="L53" s="592" t="s">
        <v>2004</v>
      </c>
    </row>
    <row r="54" spans="1:12" ht="13.5">
      <c r="A54" s="594" t="s">
        <v>2043</v>
      </c>
      <c r="B54" s="590" t="s">
        <v>690</v>
      </c>
      <c r="C54" s="593" t="s">
        <v>2004</v>
      </c>
      <c r="D54" s="593" t="s">
        <v>2004</v>
      </c>
      <c r="E54" s="593" t="s">
        <v>2004</v>
      </c>
      <c r="F54" s="593" t="s">
        <v>2004</v>
      </c>
      <c r="G54" s="593" t="s">
        <v>2004</v>
      </c>
      <c r="H54" s="593" t="s">
        <v>2004</v>
      </c>
      <c r="I54" s="593" t="s">
        <v>2004</v>
      </c>
      <c r="J54" s="593" t="s">
        <v>2004</v>
      </c>
      <c r="K54" s="593" t="s">
        <v>2004</v>
      </c>
      <c r="L54" s="593" t="s">
        <v>2004</v>
      </c>
    </row>
    <row r="55" spans="1:12" ht="21">
      <c r="A55" s="591" t="s">
        <v>2044</v>
      </c>
      <c r="B55" s="590" t="s">
        <v>690</v>
      </c>
      <c r="C55" s="592" t="s">
        <v>2004</v>
      </c>
      <c r="D55" s="592" t="s">
        <v>2004</v>
      </c>
      <c r="E55" s="592" t="s">
        <v>2004</v>
      </c>
      <c r="F55" s="592" t="s">
        <v>2004</v>
      </c>
      <c r="G55" s="592" t="s">
        <v>2004</v>
      </c>
      <c r="H55" s="592" t="s">
        <v>2004</v>
      </c>
      <c r="I55" s="592" t="s">
        <v>2004</v>
      </c>
      <c r="J55" s="592" t="s">
        <v>2004</v>
      </c>
      <c r="K55" s="592" t="s">
        <v>2004</v>
      </c>
      <c r="L55" s="592" t="s">
        <v>2004</v>
      </c>
    </row>
    <row r="56" spans="1:12" ht="21">
      <c r="A56" s="591" t="s">
        <v>2045</v>
      </c>
      <c r="B56" s="590" t="s">
        <v>690</v>
      </c>
      <c r="C56" s="593" t="s">
        <v>2004</v>
      </c>
      <c r="D56" s="593" t="s">
        <v>2004</v>
      </c>
      <c r="E56" s="593" t="s">
        <v>2004</v>
      </c>
      <c r="F56" s="593" t="s">
        <v>2004</v>
      </c>
      <c r="G56" s="593" t="s">
        <v>2004</v>
      </c>
      <c r="H56" s="593" t="s">
        <v>2004</v>
      </c>
      <c r="I56" s="593" t="s">
        <v>2004</v>
      </c>
      <c r="J56" s="593" t="s">
        <v>2004</v>
      </c>
      <c r="K56" s="593" t="s">
        <v>2004</v>
      </c>
      <c r="L56" s="593" t="s">
        <v>2004</v>
      </c>
    </row>
    <row r="57" spans="1:12" ht="13.5">
      <c r="A57" s="591" t="s">
        <v>2046</v>
      </c>
      <c r="B57" s="590" t="s">
        <v>690</v>
      </c>
      <c r="C57" s="592" t="s">
        <v>2004</v>
      </c>
      <c r="D57" s="592" t="s">
        <v>2004</v>
      </c>
      <c r="E57" s="592" t="s">
        <v>2004</v>
      </c>
      <c r="F57" s="592" t="s">
        <v>2004</v>
      </c>
      <c r="G57" s="592" t="s">
        <v>2004</v>
      </c>
      <c r="H57" s="592" t="s">
        <v>2004</v>
      </c>
      <c r="I57" s="592" t="s">
        <v>2004</v>
      </c>
      <c r="J57" s="592" t="s">
        <v>2004</v>
      </c>
      <c r="K57" s="592" t="s">
        <v>2004</v>
      </c>
      <c r="L57" s="592" t="s">
        <v>2004</v>
      </c>
    </row>
    <row r="58" spans="1:12" ht="21">
      <c r="A58" s="591" t="s">
        <v>2047</v>
      </c>
      <c r="B58" s="590" t="s">
        <v>690</v>
      </c>
      <c r="C58" s="593" t="s">
        <v>2004</v>
      </c>
      <c r="D58" s="593" t="s">
        <v>2004</v>
      </c>
      <c r="E58" s="593" t="s">
        <v>2004</v>
      </c>
      <c r="F58" s="593" t="s">
        <v>2004</v>
      </c>
      <c r="G58" s="593" t="s">
        <v>2004</v>
      </c>
      <c r="H58" s="593" t="s">
        <v>2004</v>
      </c>
      <c r="I58" s="593" t="s">
        <v>2004</v>
      </c>
      <c r="J58" s="593" t="s">
        <v>2004</v>
      </c>
      <c r="K58" s="593" t="s">
        <v>2004</v>
      </c>
      <c r="L58" s="593" t="s">
        <v>2004</v>
      </c>
    </row>
    <row r="59" spans="1:12" ht="21">
      <c r="A59" s="594" t="s">
        <v>2048</v>
      </c>
      <c r="B59" s="590" t="s">
        <v>690</v>
      </c>
      <c r="C59" s="592" t="s">
        <v>2004</v>
      </c>
      <c r="D59" s="592" t="s">
        <v>2004</v>
      </c>
      <c r="E59" s="592" t="s">
        <v>2004</v>
      </c>
      <c r="F59" s="592" t="s">
        <v>2004</v>
      </c>
      <c r="G59" s="592" t="s">
        <v>2004</v>
      </c>
      <c r="H59" s="592" t="s">
        <v>2004</v>
      </c>
      <c r="I59" s="592" t="s">
        <v>2004</v>
      </c>
      <c r="J59" s="592" t="s">
        <v>2004</v>
      </c>
      <c r="K59" s="592" t="s">
        <v>2004</v>
      </c>
      <c r="L59" s="592" t="s">
        <v>2004</v>
      </c>
    </row>
    <row r="60" spans="1:12" ht="31.5">
      <c r="A60" s="591" t="s">
        <v>2049</v>
      </c>
      <c r="B60" s="590" t="s">
        <v>690</v>
      </c>
      <c r="C60" s="593" t="s">
        <v>2004</v>
      </c>
      <c r="D60" s="593" t="s">
        <v>2004</v>
      </c>
      <c r="E60" s="593" t="s">
        <v>2004</v>
      </c>
      <c r="F60" s="593" t="s">
        <v>2004</v>
      </c>
      <c r="G60" s="593" t="s">
        <v>2004</v>
      </c>
      <c r="H60" s="593" t="s">
        <v>2004</v>
      </c>
      <c r="I60" s="593" t="s">
        <v>2004</v>
      </c>
      <c r="J60" s="593" t="s">
        <v>2004</v>
      </c>
      <c r="K60" s="593" t="s">
        <v>2004</v>
      </c>
      <c r="L60" s="593" t="s">
        <v>2004</v>
      </c>
    </row>
    <row r="61" spans="1:12" ht="21">
      <c r="A61" s="591" t="s">
        <v>2050</v>
      </c>
      <c r="B61" s="590" t="s">
        <v>690</v>
      </c>
      <c r="C61" s="592" t="s">
        <v>2004</v>
      </c>
      <c r="D61" s="592" t="s">
        <v>2004</v>
      </c>
      <c r="E61" s="592" t="s">
        <v>2004</v>
      </c>
      <c r="F61" s="592" t="s">
        <v>2004</v>
      </c>
      <c r="G61" s="592" t="s">
        <v>2004</v>
      </c>
      <c r="H61" s="592" t="s">
        <v>2004</v>
      </c>
      <c r="I61" s="592" t="s">
        <v>2004</v>
      </c>
      <c r="J61" s="592" t="s">
        <v>2004</v>
      </c>
      <c r="K61" s="592" t="s">
        <v>2004</v>
      </c>
      <c r="L61" s="592" t="s">
        <v>2004</v>
      </c>
    </row>
    <row r="62" spans="1:12" ht="13.5">
      <c r="A62" s="591" t="s">
        <v>2051</v>
      </c>
      <c r="B62" s="590" t="s">
        <v>690</v>
      </c>
      <c r="C62" s="593">
        <v>8.1806000000000004E-2</v>
      </c>
      <c r="D62" s="593">
        <v>1.5E-3</v>
      </c>
      <c r="E62" s="593">
        <v>2.8679999999999999E-3</v>
      </c>
      <c r="F62" s="593">
        <v>2.7019000000000001E-2</v>
      </c>
      <c r="G62" s="593">
        <v>0.125697</v>
      </c>
      <c r="H62" s="593">
        <v>2.0503E-2</v>
      </c>
      <c r="I62" s="593">
        <v>0.18149000000000001</v>
      </c>
      <c r="J62" s="593">
        <v>6.5710000000000005E-2</v>
      </c>
      <c r="K62" s="593">
        <v>0.57373600000000002</v>
      </c>
      <c r="L62" s="593">
        <v>0.663246</v>
      </c>
    </row>
    <row r="63" spans="1:12" ht="21">
      <c r="A63" s="594" t="s">
        <v>2052</v>
      </c>
      <c r="B63" s="590" t="s">
        <v>690</v>
      </c>
      <c r="C63" s="592" t="s">
        <v>2004</v>
      </c>
      <c r="D63" s="592" t="s">
        <v>2004</v>
      </c>
      <c r="E63" s="592" t="s">
        <v>2004</v>
      </c>
      <c r="F63" s="592" t="s">
        <v>2004</v>
      </c>
      <c r="G63" s="592" t="s">
        <v>2004</v>
      </c>
      <c r="H63" s="592" t="s">
        <v>2004</v>
      </c>
      <c r="I63" s="592" t="s">
        <v>2004</v>
      </c>
      <c r="J63" s="592" t="s">
        <v>2004</v>
      </c>
      <c r="K63" s="592" t="s">
        <v>2004</v>
      </c>
      <c r="L63" s="592" t="s">
        <v>2004</v>
      </c>
    </row>
    <row r="64" spans="1:12" ht="21">
      <c r="A64" s="591" t="s">
        <v>2053</v>
      </c>
      <c r="B64" s="590" t="s">
        <v>690</v>
      </c>
      <c r="C64" s="593" t="s">
        <v>2004</v>
      </c>
      <c r="D64" s="593" t="s">
        <v>2004</v>
      </c>
      <c r="E64" s="593" t="s">
        <v>2004</v>
      </c>
      <c r="F64" s="593" t="s">
        <v>2004</v>
      </c>
      <c r="G64" s="593" t="s">
        <v>2004</v>
      </c>
      <c r="H64" s="593" t="s">
        <v>2004</v>
      </c>
      <c r="I64" s="593" t="s">
        <v>2004</v>
      </c>
      <c r="J64" s="593" t="s">
        <v>2004</v>
      </c>
      <c r="K64" s="593" t="s">
        <v>2004</v>
      </c>
      <c r="L64" s="593" t="s">
        <v>2004</v>
      </c>
    </row>
    <row r="65" spans="1:12" ht="13.5">
      <c r="A65" s="591" t="s">
        <v>2054</v>
      </c>
      <c r="B65" s="590" t="s">
        <v>690</v>
      </c>
      <c r="C65" s="592" t="s">
        <v>2004</v>
      </c>
      <c r="D65" s="592" t="s">
        <v>2004</v>
      </c>
      <c r="E65" s="592" t="s">
        <v>2004</v>
      </c>
      <c r="F65" s="592" t="s">
        <v>2004</v>
      </c>
      <c r="G65" s="592" t="s">
        <v>2004</v>
      </c>
      <c r="H65" s="592" t="s">
        <v>2004</v>
      </c>
      <c r="I65" s="592" t="s">
        <v>2004</v>
      </c>
      <c r="J65" s="592" t="s">
        <v>2004</v>
      </c>
      <c r="K65" s="592" t="s">
        <v>2004</v>
      </c>
      <c r="L65" s="592" t="s">
        <v>2004</v>
      </c>
    </row>
    <row r="66" spans="1:12" ht="21">
      <c r="A66" s="591" t="s">
        <v>2055</v>
      </c>
      <c r="B66" s="590" t="s">
        <v>690</v>
      </c>
      <c r="C66" s="593" t="s">
        <v>2004</v>
      </c>
      <c r="D66" s="593" t="s">
        <v>2004</v>
      </c>
      <c r="E66" s="593" t="s">
        <v>2004</v>
      </c>
      <c r="F66" s="593" t="s">
        <v>2004</v>
      </c>
      <c r="G66" s="593" t="s">
        <v>2004</v>
      </c>
      <c r="H66" s="593" t="s">
        <v>2004</v>
      </c>
      <c r="I66" s="593" t="s">
        <v>2004</v>
      </c>
      <c r="J66" s="593" t="s">
        <v>2004</v>
      </c>
      <c r="K66" s="593" t="s">
        <v>2004</v>
      </c>
      <c r="L66" s="593" t="s">
        <v>2004</v>
      </c>
    </row>
    <row r="67" spans="1:12" ht="13.5">
      <c r="A67" s="594" t="s">
        <v>2056</v>
      </c>
      <c r="B67" s="590" t="s">
        <v>690</v>
      </c>
      <c r="C67" s="592" t="s">
        <v>2004</v>
      </c>
      <c r="D67" s="592" t="s">
        <v>2004</v>
      </c>
      <c r="E67" s="592" t="s">
        <v>2004</v>
      </c>
      <c r="F67" s="592" t="s">
        <v>2004</v>
      </c>
      <c r="G67" s="592" t="s">
        <v>2004</v>
      </c>
      <c r="H67" s="592" t="s">
        <v>2004</v>
      </c>
      <c r="I67" s="592" t="s">
        <v>2004</v>
      </c>
      <c r="J67" s="592" t="s">
        <v>2004</v>
      </c>
      <c r="K67" s="592">
        <v>9.9937999999999999E-2</v>
      </c>
      <c r="L67" s="592" t="s">
        <v>2004</v>
      </c>
    </row>
    <row r="68" spans="1:12" ht="13.5">
      <c r="A68" s="594" t="s">
        <v>2057</v>
      </c>
      <c r="B68" s="590" t="s">
        <v>690</v>
      </c>
      <c r="C68" s="593" t="s">
        <v>2004</v>
      </c>
      <c r="D68" s="593" t="s">
        <v>2004</v>
      </c>
      <c r="E68" s="593" t="s">
        <v>2004</v>
      </c>
      <c r="F68" s="593" t="s">
        <v>2004</v>
      </c>
      <c r="G68" s="593" t="s">
        <v>2004</v>
      </c>
      <c r="H68" s="593" t="s">
        <v>2004</v>
      </c>
      <c r="I68" s="593" t="s">
        <v>2004</v>
      </c>
      <c r="J68" s="593" t="s">
        <v>2004</v>
      </c>
      <c r="K68" s="593" t="s">
        <v>2004</v>
      </c>
      <c r="L68" s="593" t="s">
        <v>2004</v>
      </c>
    </row>
    <row r="69" spans="1:12" ht="13.5">
      <c r="A69" s="594" t="s">
        <v>2058</v>
      </c>
      <c r="B69" s="590" t="s">
        <v>690</v>
      </c>
      <c r="C69" s="592" t="s">
        <v>2004</v>
      </c>
      <c r="D69" s="592" t="s">
        <v>2004</v>
      </c>
      <c r="E69" s="592" t="s">
        <v>2004</v>
      </c>
      <c r="F69" s="592" t="s">
        <v>2004</v>
      </c>
      <c r="G69" s="592" t="s">
        <v>2004</v>
      </c>
      <c r="H69" s="592" t="s">
        <v>2004</v>
      </c>
      <c r="I69" s="592" t="s">
        <v>2004</v>
      </c>
      <c r="J69" s="592" t="s">
        <v>2004</v>
      </c>
      <c r="K69" s="592" t="s">
        <v>2004</v>
      </c>
      <c r="L69" s="592" t="s">
        <v>2004</v>
      </c>
    </row>
    <row r="70" spans="1:12" ht="13.5">
      <c r="A70" s="594" t="s">
        <v>2059</v>
      </c>
      <c r="B70" s="590" t="s">
        <v>690</v>
      </c>
      <c r="C70" s="593" t="s">
        <v>2004</v>
      </c>
      <c r="D70" s="593" t="s">
        <v>2004</v>
      </c>
      <c r="E70" s="593" t="s">
        <v>2004</v>
      </c>
      <c r="F70" s="593" t="s">
        <v>2004</v>
      </c>
      <c r="G70" s="593" t="s">
        <v>2004</v>
      </c>
      <c r="H70" s="593" t="s">
        <v>2004</v>
      </c>
      <c r="I70" s="593" t="s">
        <v>2004</v>
      </c>
      <c r="J70" s="593" t="s">
        <v>2004</v>
      </c>
      <c r="K70" s="593" t="s">
        <v>2004</v>
      </c>
      <c r="L70" s="593" t="s">
        <v>2004</v>
      </c>
    </row>
    <row r="71" spans="1:12" ht="13.5">
      <c r="A71" s="594" t="s">
        <v>2060</v>
      </c>
      <c r="B71" s="590" t="s">
        <v>690</v>
      </c>
      <c r="C71" s="592" t="s">
        <v>2004</v>
      </c>
      <c r="D71" s="592" t="s">
        <v>2004</v>
      </c>
      <c r="E71" s="592" t="s">
        <v>2004</v>
      </c>
      <c r="F71" s="592" t="s">
        <v>2004</v>
      </c>
      <c r="G71" s="592" t="s">
        <v>2004</v>
      </c>
      <c r="H71" s="592" t="s">
        <v>2004</v>
      </c>
      <c r="I71" s="592" t="s">
        <v>2004</v>
      </c>
      <c r="J71" s="592" t="s">
        <v>2004</v>
      </c>
      <c r="K71" s="592" t="s">
        <v>2004</v>
      </c>
      <c r="L71" s="592" t="s">
        <v>2004</v>
      </c>
    </row>
    <row r="72" spans="1:12" ht="13.5">
      <c r="A72" s="594" t="s">
        <v>2061</v>
      </c>
      <c r="B72" s="590" t="s">
        <v>690</v>
      </c>
      <c r="C72" s="593" t="s">
        <v>2004</v>
      </c>
      <c r="D72" s="593" t="s">
        <v>2004</v>
      </c>
      <c r="E72" s="593" t="s">
        <v>2004</v>
      </c>
      <c r="F72" s="593" t="s">
        <v>2004</v>
      </c>
      <c r="G72" s="593" t="s">
        <v>2004</v>
      </c>
      <c r="H72" s="593" t="s">
        <v>2004</v>
      </c>
      <c r="I72" s="593" t="s">
        <v>2004</v>
      </c>
      <c r="J72" s="593" t="s">
        <v>2004</v>
      </c>
      <c r="K72" s="593" t="s">
        <v>2004</v>
      </c>
      <c r="L72" s="593" t="s">
        <v>2004</v>
      </c>
    </row>
    <row r="73" spans="1:12" ht="13.5">
      <c r="A73" s="594" t="s">
        <v>2062</v>
      </c>
      <c r="B73" s="590" t="s">
        <v>690</v>
      </c>
      <c r="C73" s="592">
        <v>8.1806000000000004E-2</v>
      </c>
      <c r="D73" s="592">
        <v>1.5E-3</v>
      </c>
      <c r="E73" s="592">
        <v>2.8679999999999999E-3</v>
      </c>
      <c r="F73" s="592">
        <v>2.7019000000000001E-2</v>
      </c>
      <c r="G73" s="592">
        <v>0.125697</v>
      </c>
      <c r="H73" s="592">
        <v>2.0503E-2</v>
      </c>
      <c r="I73" s="592">
        <v>0.18149000000000001</v>
      </c>
      <c r="J73" s="592">
        <v>6.5710000000000005E-2</v>
      </c>
      <c r="K73" s="592">
        <v>0.14929700000000001</v>
      </c>
      <c r="L73" s="592">
        <v>0.19376399999999999</v>
      </c>
    </row>
    <row r="74" spans="1:12" ht="21">
      <c r="A74" s="591" t="s">
        <v>2063</v>
      </c>
      <c r="B74" s="590" t="s">
        <v>690</v>
      </c>
      <c r="C74" s="593" t="s">
        <v>2004</v>
      </c>
      <c r="D74" s="593" t="s">
        <v>2004</v>
      </c>
      <c r="E74" s="593" t="s">
        <v>2004</v>
      </c>
      <c r="F74" s="593" t="s">
        <v>2004</v>
      </c>
      <c r="G74" s="593" t="s">
        <v>2004</v>
      </c>
      <c r="H74" s="593" t="s">
        <v>2004</v>
      </c>
      <c r="I74" s="593" t="s">
        <v>2004</v>
      </c>
      <c r="J74" s="593" t="s">
        <v>2004</v>
      </c>
      <c r="K74" s="593" t="s">
        <v>2004</v>
      </c>
      <c r="L74" s="593" t="s">
        <v>2004</v>
      </c>
    </row>
    <row r="75" spans="1:12" ht="13.5">
      <c r="A75" s="594" t="s">
        <v>2064</v>
      </c>
      <c r="B75" s="590" t="s">
        <v>690</v>
      </c>
      <c r="C75" s="592" t="s">
        <v>2004</v>
      </c>
      <c r="D75" s="592" t="s">
        <v>2004</v>
      </c>
      <c r="E75" s="592" t="s">
        <v>2004</v>
      </c>
      <c r="F75" s="592" t="s">
        <v>2004</v>
      </c>
      <c r="G75" s="592" t="s">
        <v>2004</v>
      </c>
      <c r="H75" s="592" t="s">
        <v>2004</v>
      </c>
      <c r="I75" s="592" t="s">
        <v>2004</v>
      </c>
      <c r="J75" s="592" t="s">
        <v>2004</v>
      </c>
      <c r="K75" s="592" t="s">
        <v>2004</v>
      </c>
      <c r="L75" s="592" t="s">
        <v>2004</v>
      </c>
    </row>
    <row r="76" spans="1:12" ht="13.5">
      <c r="A76" s="591" t="s">
        <v>2065</v>
      </c>
      <c r="B76" s="590" t="s">
        <v>690</v>
      </c>
      <c r="C76" s="593" t="s">
        <v>2004</v>
      </c>
      <c r="D76" s="593" t="s">
        <v>2004</v>
      </c>
      <c r="E76" s="593" t="s">
        <v>2004</v>
      </c>
      <c r="F76" s="593" t="s">
        <v>2004</v>
      </c>
      <c r="G76" s="593" t="s">
        <v>2004</v>
      </c>
      <c r="H76" s="593" t="s">
        <v>2004</v>
      </c>
      <c r="I76" s="593" t="s">
        <v>2004</v>
      </c>
      <c r="J76" s="593" t="s">
        <v>2004</v>
      </c>
      <c r="K76" s="593" t="s">
        <v>2004</v>
      </c>
      <c r="L76" s="593" t="s">
        <v>2004</v>
      </c>
    </row>
    <row r="77" spans="1:12" ht="21">
      <c r="A77" s="594" t="s">
        <v>2066</v>
      </c>
      <c r="B77" s="590" t="s">
        <v>690</v>
      </c>
      <c r="C77" s="592" t="s">
        <v>2004</v>
      </c>
      <c r="D77" s="592" t="s">
        <v>2004</v>
      </c>
      <c r="E77" s="592" t="s">
        <v>2004</v>
      </c>
      <c r="F77" s="592" t="s">
        <v>2004</v>
      </c>
      <c r="G77" s="592" t="s">
        <v>2004</v>
      </c>
      <c r="H77" s="592" t="s">
        <v>2004</v>
      </c>
      <c r="I77" s="592" t="s">
        <v>2004</v>
      </c>
      <c r="J77" s="592" t="s">
        <v>2004</v>
      </c>
      <c r="K77" s="592">
        <v>0.32450099999999998</v>
      </c>
      <c r="L77" s="592">
        <v>0.46948200000000001</v>
      </c>
    </row>
    <row r="78" spans="1:12" ht="13.5">
      <c r="A78" s="591" t="s">
        <v>2067</v>
      </c>
      <c r="B78" s="590" t="s">
        <v>690</v>
      </c>
      <c r="C78" s="593" t="s">
        <v>2004</v>
      </c>
      <c r="D78" s="593" t="s">
        <v>2004</v>
      </c>
      <c r="E78" s="593" t="s">
        <v>2004</v>
      </c>
      <c r="F78" s="593" t="s">
        <v>2004</v>
      </c>
      <c r="G78" s="593" t="s">
        <v>2004</v>
      </c>
      <c r="H78" s="593" t="s">
        <v>2004</v>
      </c>
      <c r="I78" s="593" t="s">
        <v>2004</v>
      </c>
      <c r="J78" s="593" t="s">
        <v>2004</v>
      </c>
      <c r="K78" s="593" t="s">
        <v>2004</v>
      </c>
      <c r="L78" s="593" t="s">
        <v>2004</v>
      </c>
    </row>
    <row r="79" spans="1:12" ht="13.5">
      <c r="A79" s="591" t="s">
        <v>2068</v>
      </c>
      <c r="B79" s="590" t="s">
        <v>690</v>
      </c>
      <c r="C79" s="592" t="s">
        <v>2004</v>
      </c>
      <c r="D79" s="592" t="s">
        <v>2004</v>
      </c>
      <c r="E79" s="592" t="s">
        <v>2004</v>
      </c>
      <c r="F79" s="592" t="s">
        <v>2004</v>
      </c>
      <c r="G79" s="592" t="s">
        <v>2004</v>
      </c>
      <c r="H79" s="592" t="s">
        <v>2004</v>
      </c>
      <c r="I79" s="592" t="s">
        <v>2004</v>
      </c>
      <c r="J79" s="592" t="s">
        <v>2004</v>
      </c>
      <c r="K79" s="592" t="s">
        <v>2004</v>
      </c>
      <c r="L79" s="592" t="s">
        <v>2004</v>
      </c>
    </row>
    <row r="80" spans="1:12" ht="31.5">
      <c r="A80" s="594" t="s">
        <v>2069</v>
      </c>
      <c r="B80" s="590" t="s">
        <v>690</v>
      </c>
      <c r="C80" s="593" t="s">
        <v>2004</v>
      </c>
      <c r="D80" s="593" t="s">
        <v>2004</v>
      </c>
      <c r="E80" s="593" t="s">
        <v>2004</v>
      </c>
      <c r="F80" s="593" t="s">
        <v>2004</v>
      </c>
      <c r="G80" s="593" t="s">
        <v>2004</v>
      </c>
      <c r="H80" s="593" t="s">
        <v>2004</v>
      </c>
      <c r="I80" s="593" t="s">
        <v>2004</v>
      </c>
      <c r="J80" s="593" t="s">
        <v>2004</v>
      </c>
      <c r="K80" s="593" t="s">
        <v>2004</v>
      </c>
      <c r="L80" s="593" t="s">
        <v>2004</v>
      </c>
    </row>
    <row r="81" spans="1:12" ht="21">
      <c r="A81" s="594" t="s">
        <v>2070</v>
      </c>
      <c r="B81" s="590" t="s">
        <v>690</v>
      </c>
      <c r="C81" s="592" t="s">
        <v>2004</v>
      </c>
      <c r="D81" s="592" t="s">
        <v>2004</v>
      </c>
      <c r="E81" s="592" t="s">
        <v>2004</v>
      </c>
      <c r="F81" s="592" t="s">
        <v>2004</v>
      </c>
      <c r="G81" s="592" t="s">
        <v>2004</v>
      </c>
      <c r="H81" s="592" t="s">
        <v>2004</v>
      </c>
      <c r="I81" s="592" t="s">
        <v>2004</v>
      </c>
      <c r="J81" s="592" t="s">
        <v>2004</v>
      </c>
      <c r="K81" s="592" t="s">
        <v>2004</v>
      </c>
      <c r="L81" s="592" t="s">
        <v>2004</v>
      </c>
    </row>
    <row r="82" spans="1:12" ht="21">
      <c r="A82" s="594" t="s">
        <v>2071</v>
      </c>
      <c r="B82" s="590" t="s">
        <v>690</v>
      </c>
      <c r="C82" s="593" t="s">
        <v>2004</v>
      </c>
      <c r="D82" s="593" t="s">
        <v>2004</v>
      </c>
      <c r="E82" s="593" t="s">
        <v>2004</v>
      </c>
      <c r="F82" s="593" t="s">
        <v>2004</v>
      </c>
      <c r="G82" s="593" t="s">
        <v>2004</v>
      </c>
      <c r="H82" s="593" t="s">
        <v>2004</v>
      </c>
      <c r="I82" s="593" t="s">
        <v>2004</v>
      </c>
      <c r="J82" s="593" t="s">
        <v>2004</v>
      </c>
      <c r="K82" s="593" t="s">
        <v>2004</v>
      </c>
      <c r="L82" s="593" t="s">
        <v>2004</v>
      </c>
    </row>
    <row r="83" spans="1:12" ht="13.5">
      <c r="A83" s="591" t="s">
        <v>2072</v>
      </c>
      <c r="B83" s="590" t="s">
        <v>690</v>
      </c>
      <c r="C83" s="592" t="s">
        <v>2004</v>
      </c>
      <c r="D83" s="592">
        <v>5.1994720000000001</v>
      </c>
      <c r="E83" s="592" t="s">
        <v>2004</v>
      </c>
      <c r="F83" s="592">
        <v>32.200051999999999</v>
      </c>
      <c r="G83" s="592" t="s">
        <v>2004</v>
      </c>
      <c r="H83" s="592">
        <v>4.6540670000000004</v>
      </c>
      <c r="I83" s="592">
        <v>13.148355</v>
      </c>
      <c r="J83" s="592" t="s">
        <v>2004</v>
      </c>
      <c r="K83" s="592">
        <v>5.9257289999999996</v>
      </c>
      <c r="L83" s="592" t="s">
        <v>2004</v>
      </c>
    </row>
    <row r="84" spans="1:12" ht="13.5">
      <c r="A84" s="594" t="s">
        <v>2073</v>
      </c>
      <c r="B84" s="590" t="s">
        <v>690</v>
      </c>
      <c r="C84" s="593" t="s">
        <v>2004</v>
      </c>
      <c r="D84" s="593" t="s">
        <v>2004</v>
      </c>
      <c r="E84" s="593" t="s">
        <v>2004</v>
      </c>
      <c r="F84" s="593" t="s">
        <v>2004</v>
      </c>
      <c r="G84" s="593" t="s">
        <v>2004</v>
      </c>
      <c r="H84" s="593" t="s">
        <v>2004</v>
      </c>
      <c r="I84" s="593" t="s">
        <v>2004</v>
      </c>
      <c r="J84" s="593" t="s">
        <v>2004</v>
      </c>
      <c r="K84" s="593" t="s">
        <v>2004</v>
      </c>
      <c r="L84" s="593" t="s">
        <v>2004</v>
      </c>
    </row>
    <row r="85" spans="1:12" ht="21">
      <c r="A85" s="591" t="s">
        <v>2074</v>
      </c>
      <c r="B85" s="590" t="s">
        <v>690</v>
      </c>
      <c r="C85" s="592" t="s">
        <v>2004</v>
      </c>
      <c r="D85" s="592" t="s">
        <v>2004</v>
      </c>
      <c r="E85" s="592" t="s">
        <v>2004</v>
      </c>
      <c r="F85" s="592" t="s">
        <v>2004</v>
      </c>
      <c r="G85" s="592" t="s">
        <v>2004</v>
      </c>
      <c r="H85" s="592" t="s">
        <v>2004</v>
      </c>
      <c r="I85" s="592" t="s">
        <v>2004</v>
      </c>
      <c r="J85" s="592" t="s">
        <v>2004</v>
      </c>
      <c r="K85" s="592" t="s">
        <v>2004</v>
      </c>
      <c r="L85" s="592" t="s">
        <v>2004</v>
      </c>
    </row>
    <row r="86" spans="1:12" ht="13.5">
      <c r="A86" s="591" t="s">
        <v>2075</v>
      </c>
      <c r="B86" s="590" t="s">
        <v>690</v>
      </c>
      <c r="C86" s="593" t="s">
        <v>2004</v>
      </c>
      <c r="D86" s="593" t="s">
        <v>2004</v>
      </c>
      <c r="E86" s="593" t="s">
        <v>2004</v>
      </c>
      <c r="F86" s="593" t="s">
        <v>2004</v>
      </c>
      <c r="G86" s="593" t="s">
        <v>2004</v>
      </c>
      <c r="H86" s="593" t="s">
        <v>2004</v>
      </c>
      <c r="I86" s="593" t="s">
        <v>2004</v>
      </c>
      <c r="J86" s="593" t="s">
        <v>2004</v>
      </c>
      <c r="K86" s="593" t="s">
        <v>2004</v>
      </c>
      <c r="L86" s="593" t="s">
        <v>2004</v>
      </c>
    </row>
    <row r="87" spans="1:12" ht="21">
      <c r="A87" s="594" t="s">
        <v>2076</v>
      </c>
      <c r="B87" s="590" t="s">
        <v>690</v>
      </c>
      <c r="C87" s="592" t="s">
        <v>2004</v>
      </c>
      <c r="D87" s="592" t="s">
        <v>2004</v>
      </c>
      <c r="E87" s="592" t="s">
        <v>2004</v>
      </c>
      <c r="F87" s="592" t="s">
        <v>2004</v>
      </c>
      <c r="G87" s="592" t="s">
        <v>2004</v>
      </c>
      <c r="H87" s="592" t="s">
        <v>2004</v>
      </c>
      <c r="I87" s="592" t="s">
        <v>2004</v>
      </c>
      <c r="J87" s="592" t="s">
        <v>2004</v>
      </c>
      <c r="K87" s="592" t="s">
        <v>2004</v>
      </c>
      <c r="L87" s="592" t="s">
        <v>2004</v>
      </c>
    </row>
    <row r="88" spans="1:12" ht="31.5">
      <c r="A88" s="594" t="s">
        <v>2077</v>
      </c>
      <c r="B88" s="590" t="s">
        <v>690</v>
      </c>
      <c r="C88" s="593" t="s">
        <v>2004</v>
      </c>
      <c r="D88" s="593" t="s">
        <v>2004</v>
      </c>
      <c r="E88" s="593" t="s">
        <v>2004</v>
      </c>
      <c r="F88" s="593" t="s">
        <v>2004</v>
      </c>
      <c r="G88" s="593" t="s">
        <v>2004</v>
      </c>
      <c r="H88" s="593" t="s">
        <v>2004</v>
      </c>
      <c r="I88" s="593" t="s">
        <v>2004</v>
      </c>
      <c r="J88" s="593" t="s">
        <v>2004</v>
      </c>
      <c r="K88" s="593" t="s">
        <v>2004</v>
      </c>
      <c r="L88" s="593" t="s">
        <v>2004</v>
      </c>
    </row>
    <row r="89" spans="1:12" ht="21">
      <c r="A89" s="594" t="s">
        <v>2078</v>
      </c>
      <c r="B89" s="590" t="s">
        <v>690</v>
      </c>
      <c r="C89" s="592" t="s">
        <v>2004</v>
      </c>
      <c r="D89" s="592" t="s">
        <v>2004</v>
      </c>
      <c r="E89" s="592" t="s">
        <v>2004</v>
      </c>
      <c r="F89" s="592" t="s">
        <v>2004</v>
      </c>
      <c r="G89" s="592" t="s">
        <v>2004</v>
      </c>
      <c r="H89" s="592" t="s">
        <v>2004</v>
      </c>
      <c r="I89" s="592" t="s">
        <v>2004</v>
      </c>
      <c r="J89" s="592" t="s">
        <v>2004</v>
      </c>
      <c r="K89" s="592" t="s">
        <v>2004</v>
      </c>
      <c r="L89" s="592" t="s">
        <v>2004</v>
      </c>
    </row>
    <row r="90" spans="1:12" ht="13.5">
      <c r="A90" s="594" t="s">
        <v>2079</v>
      </c>
      <c r="B90" s="590" t="s">
        <v>690</v>
      </c>
      <c r="C90" s="593" t="s">
        <v>2004</v>
      </c>
      <c r="D90" s="593">
        <v>5.1994720000000001</v>
      </c>
      <c r="E90" s="593" t="s">
        <v>2004</v>
      </c>
      <c r="F90" s="593">
        <v>32.200051999999999</v>
      </c>
      <c r="G90" s="593" t="s">
        <v>2004</v>
      </c>
      <c r="H90" s="593">
        <v>4.6540670000000004</v>
      </c>
      <c r="I90" s="593">
        <v>13.148355</v>
      </c>
      <c r="J90" s="593" t="s">
        <v>2004</v>
      </c>
      <c r="K90" s="593">
        <v>5.9257289999999996</v>
      </c>
      <c r="L90" s="593" t="s">
        <v>2004</v>
      </c>
    </row>
    <row r="91" spans="1:12" ht="21">
      <c r="A91" s="591" t="s">
        <v>2080</v>
      </c>
      <c r="B91" s="590" t="s">
        <v>690</v>
      </c>
      <c r="C91" s="592" t="s">
        <v>2004</v>
      </c>
      <c r="D91" s="592" t="s">
        <v>2004</v>
      </c>
      <c r="E91" s="592" t="s">
        <v>2004</v>
      </c>
      <c r="F91" s="592" t="s">
        <v>2004</v>
      </c>
      <c r="G91" s="592" t="s">
        <v>2004</v>
      </c>
      <c r="H91" s="592" t="s">
        <v>2004</v>
      </c>
      <c r="I91" s="592" t="s">
        <v>2004</v>
      </c>
      <c r="J91" s="592" t="s">
        <v>2004</v>
      </c>
      <c r="K91" s="592" t="s">
        <v>2004</v>
      </c>
      <c r="L91" s="592" t="s">
        <v>2004</v>
      </c>
    </row>
    <row r="92" spans="1:12" ht="13.5">
      <c r="A92" s="594" t="s">
        <v>2081</v>
      </c>
      <c r="B92" s="590" t="s">
        <v>690</v>
      </c>
      <c r="C92" s="593" t="s">
        <v>2004</v>
      </c>
      <c r="D92" s="593" t="s">
        <v>2004</v>
      </c>
      <c r="E92" s="593" t="s">
        <v>2004</v>
      </c>
      <c r="F92" s="593" t="s">
        <v>2004</v>
      </c>
      <c r="G92" s="593" t="s">
        <v>2004</v>
      </c>
      <c r="H92" s="593" t="s">
        <v>2004</v>
      </c>
      <c r="I92" s="593" t="s">
        <v>2004</v>
      </c>
      <c r="J92" s="593" t="s">
        <v>2004</v>
      </c>
      <c r="K92" s="593" t="s">
        <v>2004</v>
      </c>
      <c r="L92" s="593" t="s">
        <v>2004</v>
      </c>
    </row>
    <row r="93" spans="1:12" ht="21">
      <c r="A93" s="591" t="s">
        <v>2082</v>
      </c>
      <c r="B93" s="590" t="s">
        <v>690</v>
      </c>
      <c r="C93" s="592" t="s">
        <v>2004</v>
      </c>
      <c r="D93" s="592" t="s">
        <v>2004</v>
      </c>
      <c r="E93" s="592" t="s">
        <v>2004</v>
      </c>
      <c r="F93" s="592" t="s">
        <v>2004</v>
      </c>
      <c r="G93" s="592" t="s">
        <v>2004</v>
      </c>
      <c r="H93" s="592" t="s">
        <v>2004</v>
      </c>
      <c r="I93" s="592" t="s">
        <v>2004</v>
      </c>
      <c r="J93" s="592" t="s">
        <v>2004</v>
      </c>
      <c r="K93" s="592" t="s">
        <v>2004</v>
      </c>
      <c r="L93" s="592" t="s">
        <v>2004</v>
      </c>
    </row>
    <row r="94" spans="1:12" ht="31.5">
      <c r="A94" s="591" t="s">
        <v>2083</v>
      </c>
      <c r="B94" s="590" t="s">
        <v>690</v>
      </c>
      <c r="C94" s="593" t="s">
        <v>2004</v>
      </c>
      <c r="D94" s="593" t="s">
        <v>2004</v>
      </c>
      <c r="E94" s="593" t="s">
        <v>2004</v>
      </c>
      <c r="F94" s="593" t="s">
        <v>2004</v>
      </c>
      <c r="G94" s="593" t="s">
        <v>2004</v>
      </c>
      <c r="H94" s="593" t="s">
        <v>2004</v>
      </c>
      <c r="I94" s="593" t="s">
        <v>2004</v>
      </c>
      <c r="J94" s="593" t="s">
        <v>2004</v>
      </c>
      <c r="K94" s="593" t="s">
        <v>2004</v>
      </c>
      <c r="L94" s="593" t="s">
        <v>2004</v>
      </c>
    </row>
    <row r="95" spans="1:12" ht="13.5">
      <c r="A95" s="594" t="s">
        <v>2084</v>
      </c>
      <c r="B95" s="590" t="s">
        <v>690</v>
      </c>
      <c r="C95" s="592" t="s">
        <v>2004</v>
      </c>
      <c r="D95" s="592" t="s">
        <v>2004</v>
      </c>
      <c r="E95" s="592" t="s">
        <v>2004</v>
      </c>
      <c r="F95" s="592" t="s">
        <v>2004</v>
      </c>
      <c r="G95" s="592" t="s">
        <v>2004</v>
      </c>
      <c r="H95" s="592" t="s">
        <v>2004</v>
      </c>
      <c r="I95" s="592" t="s">
        <v>2004</v>
      </c>
      <c r="J95" s="592" t="s">
        <v>2004</v>
      </c>
      <c r="K95" s="592" t="s">
        <v>2004</v>
      </c>
      <c r="L95" s="592" t="s">
        <v>2004</v>
      </c>
    </row>
    <row r="96" spans="1:12" ht="13.5">
      <c r="A96" s="591" t="s">
        <v>2085</v>
      </c>
      <c r="B96" s="590" t="s">
        <v>690</v>
      </c>
      <c r="C96" s="593" t="s">
        <v>2004</v>
      </c>
      <c r="D96" s="593" t="s">
        <v>2004</v>
      </c>
      <c r="E96" s="593" t="s">
        <v>2004</v>
      </c>
      <c r="F96" s="593">
        <v>20.445070000000001</v>
      </c>
      <c r="G96" s="593">
        <v>10.375442</v>
      </c>
      <c r="H96" s="593">
        <v>0.48674600000000001</v>
      </c>
      <c r="I96" s="593">
        <v>1.9597709999999999</v>
      </c>
      <c r="J96" s="593" t="s">
        <v>2004</v>
      </c>
      <c r="K96" s="593" t="s">
        <v>2004</v>
      </c>
      <c r="L96" s="593">
        <v>0.31032100000000001</v>
      </c>
    </row>
    <row r="97" spans="1:12" ht="13.5">
      <c r="A97" s="591" t="s">
        <v>2086</v>
      </c>
      <c r="B97" s="590" t="s">
        <v>690</v>
      </c>
      <c r="C97" s="592" t="s">
        <v>2004</v>
      </c>
      <c r="D97" s="592" t="s">
        <v>2004</v>
      </c>
      <c r="E97" s="592" t="s">
        <v>2004</v>
      </c>
      <c r="F97" s="592" t="s">
        <v>2004</v>
      </c>
      <c r="G97" s="592" t="s">
        <v>2004</v>
      </c>
      <c r="H97" s="592" t="s">
        <v>2004</v>
      </c>
      <c r="I97" s="592" t="s">
        <v>2004</v>
      </c>
      <c r="J97" s="592" t="s">
        <v>2004</v>
      </c>
      <c r="K97" s="592" t="s">
        <v>2004</v>
      </c>
      <c r="L97" s="592" t="s">
        <v>2004</v>
      </c>
    </row>
    <row r="98" spans="1:12" ht="13.5">
      <c r="A98" s="591" t="s">
        <v>2087</v>
      </c>
      <c r="B98" s="590" t="s">
        <v>690</v>
      </c>
      <c r="C98" s="593" t="s">
        <v>2004</v>
      </c>
      <c r="D98" s="593" t="s">
        <v>2004</v>
      </c>
      <c r="E98" s="593" t="s">
        <v>2004</v>
      </c>
      <c r="F98" s="593" t="s">
        <v>2004</v>
      </c>
      <c r="G98" s="593" t="s">
        <v>2004</v>
      </c>
      <c r="H98" s="593" t="s">
        <v>2004</v>
      </c>
      <c r="I98" s="593" t="s">
        <v>2004</v>
      </c>
      <c r="J98" s="593" t="s">
        <v>2004</v>
      </c>
      <c r="K98" s="593" t="s">
        <v>2004</v>
      </c>
      <c r="L98" s="593" t="s">
        <v>2004</v>
      </c>
    </row>
    <row r="99" spans="1:12" ht="13.5">
      <c r="A99" s="591" t="s">
        <v>2088</v>
      </c>
      <c r="B99" s="590" t="s">
        <v>690</v>
      </c>
      <c r="C99" s="592" t="s">
        <v>2004</v>
      </c>
      <c r="D99" s="592" t="s">
        <v>2004</v>
      </c>
      <c r="E99" s="592" t="s">
        <v>2004</v>
      </c>
      <c r="F99" s="592" t="s">
        <v>2004</v>
      </c>
      <c r="G99" s="592" t="s">
        <v>2004</v>
      </c>
      <c r="H99" s="592" t="s">
        <v>2004</v>
      </c>
      <c r="I99" s="592" t="s">
        <v>2004</v>
      </c>
      <c r="J99" s="592" t="s">
        <v>2004</v>
      </c>
      <c r="K99" s="592" t="s">
        <v>2004</v>
      </c>
      <c r="L99" s="592" t="s">
        <v>2004</v>
      </c>
    </row>
    <row r="100" spans="1:12" ht="13.5">
      <c r="A100" s="594" t="s">
        <v>2089</v>
      </c>
      <c r="B100" s="590" t="s">
        <v>690</v>
      </c>
      <c r="C100" s="593" t="s">
        <v>2004</v>
      </c>
      <c r="D100" s="593" t="s">
        <v>2004</v>
      </c>
      <c r="E100" s="593" t="s">
        <v>2004</v>
      </c>
      <c r="F100" s="593" t="s">
        <v>2004</v>
      </c>
      <c r="G100" s="593" t="s">
        <v>2004</v>
      </c>
      <c r="H100" s="593" t="s">
        <v>2004</v>
      </c>
      <c r="I100" s="593" t="s">
        <v>2004</v>
      </c>
      <c r="J100" s="593" t="s">
        <v>2004</v>
      </c>
      <c r="K100" s="593" t="s">
        <v>2004</v>
      </c>
      <c r="L100" s="593" t="s">
        <v>2004</v>
      </c>
    </row>
    <row r="101" spans="1:12" ht="13.5">
      <c r="A101" s="591" t="s">
        <v>2090</v>
      </c>
      <c r="B101" s="590" t="s">
        <v>690</v>
      </c>
      <c r="C101" s="592" t="s">
        <v>2004</v>
      </c>
      <c r="D101" s="592" t="s">
        <v>2004</v>
      </c>
      <c r="E101" s="592" t="s">
        <v>2004</v>
      </c>
      <c r="F101" s="592" t="s">
        <v>2004</v>
      </c>
      <c r="G101" s="592" t="s">
        <v>2004</v>
      </c>
      <c r="H101" s="592" t="s">
        <v>2004</v>
      </c>
      <c r="I101" s="592" t="s">
        <v>2004</v>
      </c>
      <c r="J101" s="592" t="s">
        <v>2004</v>
      </c>
      <c r="K101" s="592" t="s">
        <v>2004</v>
      </c>
      <c r="L101" s="592" t="s">
        <v>2004</v>
      </c>
    </row>
    <row r="102" spans="1:12" ht="13.5">
      <c r="A102" s="594" t="s">
        <v>2091</v>
      </c>
      <c r="B102" s="590" t="s">
        <v>690</v>
      </c>
      <c r="C102" s="593" t="s">
        <v>2004</v>
      </c>
      <c r="D102" s="593" t="s">
        <v>2004</v>
      </c>
      <c r="E102" s="593" t="s">
        <v>2004</v>
      </c>
      <c r="F102" s="593" t="s">
        <v>2004</v>
      </c>
      <c r="G102" s="593" t="s">
        <v>2004</v>
      </c>
      <c r="H102" s="593" t="s">
        <v>2004</v>
      </c>
      <c r="I102" s="593" t="s">
        <v>2004</v>
      </c>
      <c r="J102" s="593" t="s">
        <v>2004</v>
      </c>
      <c r="K102" s="593" t="s">
        <v>2004</v>
      </c>
      <c r="L102" s="593" t="s">
        <v>2004</v>
      </c>
    </row>
    <row r="103" spans="1:12" ht="13.5">
      <c r="A103" s="591" t="s">
        <v>2092</v>
      </c>
      <c r="B103" s="590" t="s">
        <v>690</v>
      </c>
      <c r="C103" s="592" t="s">
        <v>2004</v>
      </c>
      <c r="D103" s="592" t="s">
        <v>2004</v>
      </c>
      <c r="E103" s="592" t="s">
        <v>2004</v>
      </c>
      <c r="F103" s="592" t="s">
        <v>2004</v>
      </c>
      <c r="G103" s="592" t="s">
        <v>2004</v>
      </c>
      <c r="H103" s="592" t="s">
        <v>2004</v>
      </c>
      <c r="I103" s="592" t="s">
        <v>2004</v>
      </c>
      <c r="J103" s="592" t="s">
        <v>2004</v>
      </c>
      <c r="K103" s="592" t="s">
        <v>2004</v>
      </c>
      <c r="L103" s="592" t="s">
        <v>2004</v>
      </c>
    </row>
    <row r="104" spans="1:12" ht="13.5">
      <c r="A104" s="591" t="s">
        <v>2093</v>
      </c>
      <c r="B104" s="590" t="s">
        <v>690</v>
      </c>
      <c r="C104" s="593" t="s">
        <v>2004</v>
      </c>
      <c r="D104" s="593" t="s">
        <v>2004</v>
      </c>
      <c r="E104" s="593" t="s">
        <v>2004</v>
      </c>
      <c r="F104" s="593" t="s">
        <v>2004</v>
      </c>
      <c r="G104" s="593" t="s">
        <v>2004</v>
      </c>
      <c r="H104" s="593" t="s">
        <v>2004</v>
      </c>
      <c r="I104" s="593" t="s">
        <v>2004</v>
      </c>
      <c r="J104" s="593" t="s">
        <v>2004</v>
      </c>
      <c r="K104" s="593" t="s">
        <v>2004</v>
      </c>
      <c r="L104" s="593" t="s">
        <v>2004</v>
      </c>
    </row>
    <row r="105" spans="1:12" ht="13.5">
      <c r="A105" s="591" t="s">
        <v>2094</v>
      </c>
      <c r="B105" s="590" t="s">
        <v>690</v>
      </c>
      <c r="C105" s="592" t="s">
        <v>2004</v>
      </c>
      <c r="D105" s="592" t="s">
        <v>2004</v>
      </c>
      <c r="E105" s="592" t="s">
        <v>2004</v>
      </c>
      <c r="F105" s="592" t="s">
        <v>2004</v>
      </c>
      <c r="G105" s="592" t="s">
        <v>2004</v>
      </c>
      <c r="H105" s="592" t="s">
        <v>2004</v>
      </c>
      <c r="I105" s="592" t="s">
        <v>2004</v>
      </c>
      <c r="J105" s="592" t="s">
        <v>2004</v>
      </c>
      <c r="K105" s="592" t="s">
        <v>2004</v>
      </c>
      <c r="L105" s="592" t="s">
        <v>2004</v>
      </c>
    </row>
    <row r="106" spans="1:12" ht="13.5">
      <c r="A106" s="591" t="s">
        <v>2095</v>
      </c>
      <c r="B106" s="590" t="s">
        <v>690</v>
      </c>
      <c r="C106" s="593" t="s">
        <v>2004</v>
      </c>
      <c r="D106" s="593" t="s">
        <v>2004</v>
      </c>
      <c r="E106" s="593" t="s">
        <v>2004</v>
      </c>
      <c r="F106" s="593" t="s">
        <v>2004</v>
      </c>
      <c r="G106" s="593" t="s">
        <v>2004</v>
      </c>
      <c r="H106" s="593" t="s">
        <v>2004</v>
      </c>
      <c r="I106" s="593" t="s">
        <v>2004</v>
      </c>
      <c r="J106" s="593" t="s">
        <v>2004</v>
      </c>
      <c r="K106" s="593" t="s">
        <v>2004</v>
      </c>
      <c r="L106" s="593" t="s">
        <v>2004</v>
      </c>
    </row>
    <row r="107" spans="1:12" ht="13.5">
      <c r="A107" s="591" t="s">
        <v>2096</v>
      </c>
      <c r="B107" s="590" t="s">
        <v>690</v>
      </c>
      <c r="C107" s="592" t="s">
        <v>2004</v>
      </c>
      <c r="D107" s="592" t="s">
        <v>2004</v>
      </c>
      <c r="E107" s="592" t="s">
        <v>2004</v>
      </c>
      <c r="F107" s="592" t="s">
        <v>2004</v>
      </c>
      <c r="G107" s="592" t="s">
        <v>2004</v>
      </c>
      <c r="H107" s="592" t="s">
        <v>2004</v>
      </c>
      <c r="I107" s="592" t="s">
        <v>2004</v>
      </c>
      <c r="J107" s="592" t="s">
        <v>2004</v>
      </c>
      <c r="K107" s="592" t="s">
        <v>2004</v>
      </c>
      <c r="L107" s="592">
        <v>1.6466999999999999E-2</v>
      </c>
    </row>
    <row r="108" spans="1:12" ht="13.5">
      <c r="A108" s="591" t="s">
        <v>2097</v>
      </c>
      <c r="B108" s="590" t="s">
        <v>690</v>
      </c>
      <c r="C108" s="593" t="s">
        <v>2004</v>
      </c>
      <c r="D108" s="593" t="s">
        <v>2004</v>
      </c>
      <c r="E108" s="593" t="s">
        <v>2004</v>
      </c>
      <c r="F108" s="593" t="s">
        <v>2004</v>
      </c>
      <c r="G108" s="593" t="s">
        <v>2004</v>
      </c>
      <c r="H108" s="593" t="s">
        <v>2004</v>
      </c>
      <c r="I108" s="593" t="s">
        <v>2004</v>
      </c>
      <c r="J108" s="593" t="s">
        <v>2004</v>
      </c>
      <c r="K108" s="593" t="s">
        <v>2004</v>
      </c>
      <c r="L108" s="593" t="s">
        <v>2004</v>
      </c>
    </row>
    <row r="109" spans="1:12" ht="13.5">
      <c r="A109" s="591" t="s">
        <v>2098</v>
      </c>
      <c r="B109" s="590" t="s">
        <v>690</v>
      </c>
      <c r="C109" s="592" t="s">
        <v>2004</v>
      </c>
      <c r="D109" s="592" t="s">
        <v>2004</v>
      </c>
      <c r="E109" s="592" t="s">
        <v>2004</v>
      </c>
      <c r="F109" s="592" t="s">
        <v>2004</v>
      </c>
      <c r="G109" s="592" t="s">
        <v>2004</v>
      </c>
      <c r="H109" s="592" t="s">
        <v>2004</v>
      </c>
      <c r="I109" s="592" t="s">
        <v>2004</v>
      </c>
      <c r="J109" s="592" t="s">
        <v>2004</v>
      </c>
      <c r="K109" s="592" t="s">
        <v>2004</v>
      </c>
      <c r="L109" s="592" t="s">
        <v>2004</v>
      </c>
    </row>
    <row r="110" spans="1:12" ht="13.5">
      <c r="A110" s="594" t="s">
        <v>2099</v>
      </c>
      <c r="B110" s="590" t="s">
        <v>690</v>
      </c>
      <c r="C110" s="593" t="s">
        <v>2004</v>
      </c>
      <c r="D110" s="593" t="s">
        <v>2004</v>
      </c>
      <c r="E110" s="593" t="s">
        <v>2004</v>
      </c>
      <c r="F110" s="593" t="s">
        <v>2004</v>
      </c>
      <c r="G110" s="593" t="s">
        <v>2004</v>
      </c>
      <c r="H110" s="593" t="s">
        <v>2004</v>
      </c>
      <c r="I110" s="593" t="s">
        <v>2004</v>
      </c>
      <c r="J110" s="593" t="s">
        <v>2004</v>
      </c>
      <c r="K110" s="593" t="s">
        <v>2004</v>
      </c>
      <c r="L110" s="593" t="s">
        <v>2004</v>
      </c>
    </row>
    <row r="111" spans="1:12" ht="13.5">
      <c r="A111" s="594" t="s">
        <v>2100</v>
      </c>
      <c r="B111" s="590" t="s">
        <v>690</v>
      </c>
      <c r="C111" s="592" t="s">
        <v>2004</v>
      </c>
      <c r="D111" s="592" t="s">
        <v>2004</v>
      </c>
      <c r="E111" s="592" t="s">
        <v>2004</v>
      </c>
      <c r="F111" s="592" t="s">
        <v>2004</v>
      </c>
      <c r="G111" s="592" t="s">
        <v>2004</v>
      </c>
      <c r="H111" s="592" t="s">
        <v>2004</v>
      </c>
      <c r="I111" s="592" t="s">
        <v>2004</v>
      </c>
      <c r="J111" s="592" t="s">
        <v>2004</v>
      </c>
      <c r="K111" s="592" t="s">
        <v>2004</v>
      </c>
      <c r="L111" s="592" t="s">
        <v>2004</v>
      </c>
    </row>
    <row r="112" spans="1:12" ht="13.5">
      <c r="A112" s="591" t="s">
        <v>2101</v>
      </c>
      <c r="B112" s="590" t="s">
        <v>690</v>
      </c>
      <c r="C112" s="593" t="s">
        <v>2004</v>
      </c>
      <c r="D112" s="593" t="s">
        <v>2004</v>
      </c>
      <c r="E112" s="593" t="s">
        <v>2004</v>
      </c>
      <c r="F112" s="593" t="s">
        <v>2004</v>
      </c>
      <c r="G112" s="593" t="s">
        <v>2004</v>
      </c>
      <c r="H112" s="593" t="s">
        <v>2004</v>
      </c>
      <c r="I112" s="593" t="s">
        <v>2004</v>
      </c>
      <c r="J112" s="593" t="s">
        <v>2004</v>
      </c>
      <c r="K112" s="593" t="s">
        <v>2004</v>
      </c>
      <c r="L112" s="593" t="s">
        <v>2004</v>
      </c>
    </row>
    <row r="113" spans="1:12" ht="13.5">
      <c r="A113" s="591" t="s">
        <v>2102</v>
      </c>
      <c r="B113" s="590" t="s">
        <v>690</v>
      </c>
      <c r="C113" s="592" t="s">
        <v>2004</v>
      </c>
      <c r="D113" s="592" t="s">
        <v>2004</v>
      </c>
      <c r="E113" s="592" t="s">
        <v>2004</v>
      </c>
      <c r="F113" s="592" t="s">
        <v>2004</v>
      </c>
      <c r="G113" s="592" t="s">
        <v>2004</v>
      </c>
      <c r="H113" s="592" t="s">
        <v>2004</v>
      </c>
      <c r="I113" s="592" t="s">
        <v>2004</v>
      </c>
      <c r="J113" s="592" t="s">
        <v>2004</v>
      </c>
      <c r="K113" s="592" t="s">
        <v>2004</v>
      </c>
      <c r="L113" s="592" t="s">
        <v>2004</v>
      </c>
    </row>
    <row r="114" spans="1:12" ht="13.5">
      <c r="A114" s="591" t="s">
        <v>2103</v>
      </c>
      <c r="B114" s="590" t="s">
        <v>690</v>
      </c>
      <c r="C114" s="593" t="s">
        <v>2004</v>
      </c>
      <c r="D114" s="593" t="s">
        <v>2004</v>
      </c>
      <c r="E114" s="593" t="s">
        <v>2004</v>
      </c>
      <c r="F114" s="593" t="s">
        <v>2004</v>
      </c>
      <c r="G114" s="593" t="s">
        <v>2004</v>
      </c>
      <c r="H114" s="593" t="s">
        <v>2004</v>
      </c>
      <c r="I114" s="593" t="s">
        <v>2004</v>
      </c>
      <c r="J114" s="593" t="s">
        <v>2004</v>
      </c>
      <c r="K114" s="593" t="s">
        <v>2004</v>
      </c>
      <c r="L114" s="593" t="s">
        <v>2004</v>
      </c>
    </row>
    <row r="115" spans="1:12" ht="13.5">
      <c r="A115" s="591" t="s">
        <v>2104</v>
      </c>
      <c r="B115" s="590" t="s">
        <v>690</v>
      </c>
      <c r="C115" s="592" t="s">
        <v>2004</v>
      </c>
      <c r="D115" s="592" t="s">
        <v>2004</v>
      </c>
      <c r="E115" s="592" t="s">
        <v>2004</v>
      </c>
      <c r="F115" s="592" t="s">
        <v>2004</v>
      </c>
      <c r="G115" s="592" t="s">
        <v>2004</v>
      </c>
      <c r="H115" s="592" t="s">
        <v>2004</v>
      </c>
      <c r="I115" s="592" t="s">
        <v>2004</v>
      </c>
      <c r="J115" s="592" t="s">
        <v>2004</v>
      </c>
      <c r="K115" s="592" t="s">
        <v>2004</v>
      </c>
      <c r="L115" s="592" t="s">
        <v>2004</v>
      </c>
    </row>
    <row r="116" spans="1:12" ht="13.5">
      <c r="A116" s="594" t="s">
        <v>2105</v>
      </c>
      <c r="B116" s="590" t="s">
        <v>690</v>
      </c>
      <c r="C116" s="593" t="s">
        <v>2004</v>
      </c>
      <c r="D116" s="593" t="s">
        <v>2004</v>
      </c>
      <c r="E116" s="593" t="s">
        <v>2004</v>
      </c>
      <c r="F116" s="593">
        <v>20.445070000000001</v>
      </c>
      <c r="G116" s="593">
        <v>10.375442</v>
      </c>
      <c r="H116" s="593">
        <v>0.48674600000000001</v>
      </c>
      <c r="I116" s="593">
        <v>1.9597709999999999</v>
      </c>
      <c r="J116" s="593" t="s">
        <v>2004</v>
      </c>
      <c r="K116" s="593" t="s">
        <v>2004</v>
      </c>
      <c r="L116" s="593">
        <v>0.293854</v>
      </c>
    </row>
    <row r="117" spans="1:12" ht="13.5">
      <c r="A117" s="591" t="s">
        <v>2106</v>
      </c>
      <c r="B117" s="590" t="s">
        <v>690</v>
      </c>
      <c r="C117" s="592" t="s">
        <v>2004</v>
      </c>
      <c r="D117" s="592" t="s">
        <v>2004</v>
      </c>
      <c r="E117" s="592" t="s">
        <v>2004</v>
      </c>
      <c r="F117" s="592" t="s">
        <v>2004</v>
      </c>
      <c r="G117" s="592" t="s">
        <v>2004</v>
      </c>
      <c r="H117" s="592" t="s">
        <v>2004</v>
      </c>
      <c r="I117" s="592" t="s">
        <v>2004</v>
      </c>
      <c r="J117" s="592" t="s">
        <v>2004</v>
      </c>
      <c r="K117" s="592" t="s">
        <v>2004</v>
      </c>
      <c r="L117" s="592" t="s">
        <v>2004</v>
      </c>
    </row>
    <row r="118" spans="1:12" ht="21">
      <c r="A118" s="594" t="s">
        <v>2107</v>
      </c>
      <c r="B118" s="590" t="s">
        <v>690</v>
      </c>
      <c r="C118" s="593" t="s">
        <v>2004</v>
      </c>
      <c r="D118" s="593" t="s">
        <v>2004</v>
      </c>
      <c r="E118" s="593" t="s">
        <v>2004</v>
      </c>
      <c r="F118" s="593" t="s">
        <v>2004</v>
      </c>
      <c r="G118" s="593" t="s">
        <v>2004</v>
      </c>
      <c r="H118" s="593" t="s">
        <v>2004</v>
      </c>
      <c r="I118" s="593" t="s">
        <v>2004</v>
      </c>
      <c r="J118" s="593" t="s">
        <v>2004</v>
      </c>
      <c r="K118" s="593" t="s">
        <v>2004</v>
      </c>
      <c r="L118" s="593" t="s">
        <v>2004</v>
      </c>
    </row>
    <row r="119" spans="1:12">
      <c r="A119" s="595" t="s">
        <v>2108</v>
      </c>
    </row>
  </sheetData>
  <mergeCells count="17"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A9:B9"/>
    <mergeCell ref="C9:L9"/>
    <mergeCell ref="A10:B10"/>
    <mergeCell ref="C10:L10"/>
    <mergeCell ref="A11:B11"/>
  </mergeCells>
  <hyperlinks>
    <hyperlink ref="A2" r:id="rId1" tooltip="Click once to display linked information. Click and hold to select this cell." display="http://stats.oecd.org/OECDStat_Metadata/ShowMetadata.ashx?Dataset=CRS1&amp;ShowOnWeb=true&amp;Lang=en"/>
    <hyperlink ref="C5" r:id="rId2" tooltip="Click once to display linked information. Click and hold to select this cell." display="http://stats.oecd.org/OECDStat_Metadata/ShowMetadata.ashx?Dataset=CRS1&amp;Coords=[FLOW].[100]&amp;ShowOnWeb=true&amp;Lang=en"/>
    <hyperlink ref="C7" r:id="rId3" tooltip="Click once to display linked information. Click and hold to select this cell." display="http://stats.oecd.org/OECDStat_Metadata/ShowMetadata.ashx?Dataset=CRS1&amp;Coords=[FLOWTYPE].[115]&amp;ShowOnWeb=true&amp;Lang=en"/>
    <hyperlink ref="C8" r:id="rId4" tooltip="Click once to display linked information. Click and hold to select this cell." display="http://stats.oecd.org/OECDStat_Metadata/ShowMetadata.ashx?Dataset=CRS1&amp;Coords=[AIDTYPE].[100]&amp;ShowOnWeb=true&amp;Lang=en"/>
    <hyperlink ref="A47" r:id="rId5" tooltip="Click once to display linked information. Click and hold to select this cell." display="http://stats.oecd.org/OECDStat_Metadata/ShowMetadata.ashx?Dataset=CRS1&amp;Coords=[DONOR].[958]&amp;ShowOnWeb=true&amp;Lang=en"/>
    <hyperlink ref="A50" r:id="rId6" tooltip="Click once to display linked information. Click and hold to select this cell." display="http://stats.oecd.org/OECDStat_Metadata/ShowMetadata.ashx?Dataset=CRS1&amp;Coords=[DONOR].[913]&amp;ShowOnWeb=true&amp;Lang=en"/>
    <hyperlink ref="A51" r:id="rId7" tooltip="Click once to display linked information. Click and hold to select this cell." display="http://stats.oecd.org/OECDStat_Metadata/ShowMetadata.ashx?Dataset=CRS1&amp;Coords=[DONOR].[914]&amp;ShowOnWeb=true&amp;Lang=en"/>
    <hyperlink ref="A53" r:id="rId8" tooltip="Click once to display linked information. Click and hold to select this cell." display="http://stats.oecd.org/OECDStat_Metadata/ShowMetadata.ashx?Dataset=CRS1&amp;Coords=[DONOR].[915]&amp;ShowOnWeb=true&amp;Lang=en"/>
    <hyperlink ref="A54" r:id="rId9" tooltip="Click once to display linked information. Click and hold to select this cell." display="http://stats.oecd.org/OECDStat_Metadata/ShowMetadata.ashx?Dataset=CRS1&amp;Coords=[DONOR].[916]&amp;ShowOnWeb=true&amp;Lang=en"/>
    <hyperlink ref="A59" r:id="rId10" tooltip="Click once to display linked information. Click and hold to select this cell." display="http://stats.oecd.org/OECDStat_Metadata/ShowMetadata.ashx?Dataset=CRS1&amp;Coords=[DONOR].[1013]&amp;ShowOnWeb=true&amp;Lang=en"/>
    <hyperlink ref="A63" r:id="rId11" tooltip="Click once to display linked information. Click and hold to select this cell." display="http://stats.oecd.org/OECDStat_Metadata/ShowMetadata.ashx?Dataset=CRS1&amp;Coords=[DONOR].[932]&amp;ShowOnWeb=true&amp;Lang=en"/>
    <hyperlink ref="A67" r:id="rId12" tooltip="Click once to display linked information. Click and hold to select this cell." display="http://stats.oecd.org/OECDStat_Metadata/ShowMetadata.ashx?Dataset=CRS1&amp;Coords=[DONOR].[971]&amp;ShowOnWeb=true&amp;Lang=en"/>
    <hyperlink ref="A68" r:id="rId13" tooltip="Click once to display linked information. Click and hold to select this cell." display="http://stats.oecd.org/OECDStat_Metadata/ShowMetadata.ashx?Dataset=CRS1&amp;Coords=[DONOR].[959]&amp;ShowOnWeb=true&amp;Lang=en"/>
    <hyperlink ref="A69" r:id="rId14" tooltip="Click once to display linked information. Click and hold to select this cell." display="http://stats.oecd.org/OECDStat_Metadata/ShowMetadata.ashx?Dataset=CRS1&amp;Coords=[DONOR].[948]&amp;ShowOnWeb=true&amp;Lang=en"/>
    <hyperlink ref="A70" r:id="rId15" tooltip="Click once to display linked information. Click and hold to select this cell." display="http://stats.oecd.org/OECDStat_Metadata/ShowMetadata.ashx?Dataset=CRS1&amp;Coords=[DONOR].[807]&amp;ShowOnWeb=true&amp;Lang=en"/>
    <hyperlink ref="A71" r:id="rId16" tooltip="Click once to display linked information. Click and hold to select this cell." display="http://stats.oecd.org/OECDStat_Metadata/ShowMetadata.ashx?Dataset=CRS1&amp;Coords=[DONOR].[974]&amp;ShowOnWeb=true&amp;Lang=en"/>
    <hyperlink ref="A72" r:id="rId17" tooltip="Click once to display linked information. Click and hold to select this cell." display="http://stats.oecd.org/OECDStat_Metadata/ShowMetadata.ashx?Dataset=CRS1&amp;Coords=[DONOR].[967]&amp;ShowOnWeb=true&amp;Lang=en"/>
    <hyperlink ref="A73" r:id="rId18" tooltip="Click once to display linked information. Click and hold to select this cell." display="http://stats.oecd.org/OECDStat_Metadata/ShowMetadata.ashx?Dataset=CRS1&amp;Coords=[DONOR].[963]&amp;ShowOnWeb=true&amp;Lang=en"/>
    <hyperlink ref="A75" r:id="rId19" tooltip="Click once to display linked information. Click and hold to select this cell." display="http://stats.oecd.org/OECDStat_Metadata/ShowMetadata.ashx?Dataset=CRS1&amp;Coords=[DONOR].[964]&amp;ShowOnWeb=true&amp;Lang=en"/>
    <hyperlink ref="A77" r:id="rId20" tooltip="Click once to display linked information. Click and hold to select this cell." display="http://stats.oecd.org/OECDStat_Metadata/ShowMetadata.ashx?Dataset=CRS1&amp;Coords=[DONOR].[928]&amp;ShowOnWeb=true&amp;Lang=en"/>
    <hyperlink ref="A80" r:id="rId21" tooltip="Click once to display linked information. Click and hold to select this cell." display="http://stats.oecd.org/OECDStat_Metadata/ShowMetadata.ashx?Dataset=CRS1&amp;Coords=[DONOR].[901]&amp;ShowOnWeb=true&amp;Lang=en"/>
    <hyperlink ref="A81" r:id="rId22" tooltip="Click once to display linked information. Click and hold to select this cell." display="http://stats.oecd.org/OECDStat_Metadata/ShowMetadata.ashx?Dataset=CRS1&amp;Coords=[DONOR].[905]&amp;ShowOnWeb=true&amp;Lang=en"/>
    <hyperlink ref="A82" r:id="rId23" tooltip="Click once to display linked information. Click and hold to select this cell." display="http://stats.oecd.org/OECDStat_Metadata/ShowMetadata.ashx?Dataset=CRS1&amp;Coords=[DONOR].[903]&amp;ShowOnWeb=true&amp;Lang=en"/>
    <hyperlink ref="A84" r:id="rId24" tooltip="Click once to display linked information. Click and hold to select this cell." display="http://stats.oecd.org/OECDStat_Metadata/ShowMetadata.ashx?Dataset=CRS1&amp;Coords=[DONOR].[1012]&amp;ShowOnWeb=true&amp;Lang=en"/>
    <hyperlink ref="A87" r:id="rId25" tooltip="Click once to display linked information. Click and hold to select this cell." display="http://stats.oecd.org/OECDStat_Metadata/ShowMetadata.ashx?Dataset=CRS1&amp;Coords=[DONOR].[1011]&amp;ShowOnWeb=true&amp;Lang=en"/>
    <hyperlink ref="A88" r:id="rId26" tooltip="Click once to display linked information. Click and hold to select this cell." display="http://stats.oecd.org/OECDStat_Metadata/ShowMetadata.ashx?Dataset=CRS1&amp;Coords=[DONOR].[1311]&amp;ShowOnWeb=true&amp;Lang=en"/>
    <hyperlink ref="A89" r:id="rId27" tooltip="Click once to display linked information. Click and hold to select this cell." display="http://stats.oecd.org/OECDStat_Metadata/ShowMetadata.ashx?Dataset=CRS1&amp;Coords=[DONOR].[811]&amp;ShowOnWeb=true&amp;Lang=en"/>
    <hyperlink ref="A90" r:id="rId28" tooltip="Click once to display linked information. Click and hold to select this cell." display="http://stats.oecd.org/OECDStat_Metadata/ShowMetadata.ashx?Dataset=CRS1&amp;Coords=[DONOR].[1312]&amp;ShowOnWeb=true&amp;Lang=en"/>
    <hyperlink ref="A92" r:id="rId29" tooltip="Click once to display linked information. Click and hold to select this cell." display="http://stats.oecd.org/OECDStat_Metadata/ShowMetadata.ashx?Dataset=CRS1&amp;Coords=[DONOR].[812]&amp;ShowOnWeb=true&amp;Lang=en"/>
    <hyperlink ref="A95" r:id="rId30" tooltip="Click once to display linked information. Click and hold to select this cell." display="http://stats.oecd.org/OECDStat_Metadata/ShowMetadata.ashx?Dataset=CRS1&amp;Coords=[DONOR].[978]&amp;ShowOnWeb=true&amp;Lang=en"/>
    <hyperlink ref="A100" r:id="rId31" tooltip="Click once to display linked information. Click and hold to select this cell." display="http://stats.oecd.org/OECDStat_Metadata/ShowMetadata.ashx?Dataset=CRS1&amp;Coords=[DONOR].[30]&amp;ShowOnWeb=true&amp;Lang=en"/>
    <hyperlink ref="A102" r:id="rId32" tooltip="Click once to display linked information. Click and hold to select this cell." display="http://stats.oecd.org/OECDStat_Metadata/ShowMetadata.ashx?Dataset=CRS1&amp;Coords=[DONOR].[546]&amp;ShowOnWeb=true&amp;Lang=en"/>
    <hyperlink ref="A110" r:id="rId33" tooltip="Click once to display linked information. Click and hold to select this cell." display="http://stats.oecd.org/OECDStat_Metadata/ShowMetadata.ashx?Dataset=CRS1&amp;Coords=[DONOR].[87]&amp;ShowOnWeb=true&amp;Lang=en"/>
    <hyperlink ref="A111" r:id="rId34" tooltip="Click once to display linked information. Click and hold to select this cell." display="http://stats.oecd.org/OECDStat_Metadata/ShowMetadata.ashx?Dataset=CRS1&amp;Coords=[DONOR].[566]&amp;ShowOnWeb=true&amp;Lang=en"/>
    <hyperlink ref="A116" r:id="rId35" tooltip="Click once to display linked information. Click and hold to select this cell." display="http://stats.oecd.org/OECDStat_Metadata/ShowMetadata.ashx?Dataset=CRS1&amp;Coords=[DONOR].[576]&amp;ShowOnWeb=true&amp;Lang=en"/>
    <hyperlink ref="A118" r:id="rId36" tooltip="Click once to display linked information. Click and hold to select this cell." display="http://stats.oecd.org/OECDStat_Metadata/ShowMetadata.ashx?Dataset=CRS1&amp;Coords=[DONOR].[1601]&amp;ShowOnWeb=true&amp;Lang=en"/>
    <hyperlink ref="A119" r:id="rId37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61"/>
  <sheetViews>
    <sheetView zoomScale="60" zoomScaleNormal="60" workbookViewId="0">
      <pane xSplit="2" ySplit="3" topLeftCell="C28" activePane="bottomRight" state="frozen"/>
      <selection activeCell="I20" sqref="I20"/>
      <selection pane="topRight" activeCell="I20" sqref="I20"/>
      <selection pane="bottomLeft" activeCell="I20" sqref="I20"/>
      <selection pane="bottomRight" activeCell="I48" sqref="I48"/>
    </sheetView>
  </sheetViews>
  <sheetFormatPr defaultColWidth="9.140625" defaultRowHeight="21"/>
  <cols>
    <col min="1" max="1" width="20.7109375" style="31" customWidth="1"/>
    <col min="2" max="2" width="95.7109375" style="32" customWidth="1"/>
    <col min="3" max="3" width="21.140625" style="30" customWidth="1"/>
    <col min="4" max="16" width="18.7109375" style="30" customWidth="1"/>
    <col min="17" max="17" width="36.7109375" style="33" customWidth="1"/>
    <col min="18" max="18" width="9.140625" style="27"/>
    <col min="19" max="19" width="23.85546875" style="187" bestFit="1" customWidth="1"/>
    <col min="20" max="20" width="14.140625" style="27" bestFit="1" customWidth="1"/>
    <col min="21" max="31" width="9.140625" style="27"/>
    <col min="32" max="16384" width="9.140625" style="3"/>
  </cols>
  <sheetData>
    <row r="1" spans="1:31" ht="18.75">
      <c r="A1" s="1194"/>
      <c r="B1" s="1194"/>
      <c r="C1" s="1195" t="s">
        <v>222</v>
      </c>
      <c r="D1" s="1196"/>
      <c r="E1" s="1197"/>
      <c r="F1" s="1195" t="s">
        <v>223</v>
      </c>
      <c r="G1" s="1196"/>
      <c r="H1" s="1196"/>
      <c r="I1" s="1196"/>
      <c r="J1" s="1196"/>
      <c r="K1" s="1198"/>
      <c r="L1" s="1197"/>
      <c r="M1" s="1189" t="s">
        <v>225</v>
      </c>
      <c r="N1" s="1190"/>
      <c r="O1" s="1189"/>
      <c r="P1" s="1199" t="s">
        <v>1889</v>
      </c>
      <c r="Q1" s="1191" t="s">
        <v>46</v>
      </c>
    </row>
    <row r="2" spans="1:31">
      <c r="A2" s="1194"/>
      <c r="B2" s="1194"/>
      <c r="C2" s="557" t="s">
        <v>14</v>
      </c>
      <c r="D2" s="556" t="s">
        <v>16</v>
      </c>
      <c r="E2" s="515" t="s">
        <v>1882</v>
      </c>
      <c r="F2" s="557" t="s">
        <v>35</v>
      </c>
      <c r="G2" s="556" t="s">
        <v>37</v>
      </c>
      <c r="H2" s="515" t="s">
        <v>1884</v>
      </c>
      <c r="I2" s="556" t="s">
        <v>39</v>
      </c>
      <c r="J2" s="557" t="s">
        <v>41</v>
      </c>
      <c r="K2" s="515" t="s">
        <v>1886</v>
      </c>
      <c r="L2" s="515" t="s">
        <v>1887</v>
      </c>
      <c r="M2" s="557" t="s">
        <v>43</v>
      </c>
      <c r="N2" s="515" t="s">
        <v>1888</v>
      </c>
      <c r="O2" s="556" t="s">
        <v>45</v>
      </c>
      <c r="P2" s="1200"/>
      <c r="Q2" s="1192"/>
    </row>
    <row r="3" spans="1:31" s="21" customFormat="1" ht="189">
      <c r="A3" s="1194"/>
      <c r="B3" s="1194"/>
      <c r="C3" s="557" t="s">
        <v>15</v>
      </c>
      <c r="D3" s="556" t="s">
        <v>17</v>
      </c>
      <c r="E3" s="511" t="s">
        <v>1883</v>
      </c>
      <c r="F3" s="557" t="s">
        <v>36</v>
      </c>
      <c r="G3" s="556" t="s">
        <v>38</v>
      </c>
      <c r="H3" s="515" t="s">
        <v>1885</v>
      </c>
      <c r="I3" s="556" t="s">
        <v>40</v>
      </c>
      <c r="J3" s="557" t="s">
        <v>42</v>
      </c>
      <c r="K3" s="515" t="s">
        <v>1966</v>
      </c>
      <c r="L3" s="515" t="s">
        <v>1967</v>
      </c>
      <c r="M3" s="557" t="s">
        <v>44</v>
      </c>
      <c r="N3" s="515" t="s">
        <v>1968</v>
      </c>
      <c r="O3" s="549" t="s">
        <v>1970</v>
      </c>
      <c r="P3" s="572" t="s">
        <v>1890</v>
      </c>
      <c r="Q3" s="1193"/>
      <c r="R3" s="28"/>
      <c r="S3" s="187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s="452" customFormat="1">
      <c r="A4" s="464" t="s">
        <v>1893</v>
      </c>
      <c r="B4" s="582" t="s">
        <v>1891</v>
      </c>
      <c r="C4" s="489">
        <f t="shared" ref="C4:Q4" si="0">C5+C6</f>
        <v>620891612.27757215</v>
      </c>
      <c r="D4" s="489">
        <f t="shared" si="0"/>
        <v>620891612.27757215</v>
      </c>
      <c r="E4" s="489"/>
      <c r="F4" s="489">
        <f t="shared" si="0"/>
        <v>55116572</v>
      </c>
      <c r="G4" s="489">
        <f t="shared" si="0"/>
        <v>17869687</v>
      </c>
      <c r="H4" s="489"/>
      <c r="I4" s="489">
        <f t="shared" si="0"/>
        <v>37246885</v>
      </c>
      <c r="J4" s="489">
        <f t="shared" si="0"/>
        <v>310444818.67113054</v>
      </c>
      <c r="K4" s="489"/>
      <c r="L4" s="489"/>
      <c r="M4" s="489">
        <f t="shared" si="0"/>
        <v>1802334</v>
      </c>
      <c r="N4" s="489"/>
      <c r="O4" s="489">
        <f t="shared" si="0"/>
        <v>1802334</v>
      </c>
      <c r="P4" s="489"/>
      <c r="Q4" s="489">
        <f t="shared" si="0"/>
        <v>988255336.94870269</v>
      </c>
      <c r="R4" s="450"/>
      <c r="S4" s="451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</row>
    <row r="5" spans="1:31" s="455" customFormat="1">
      <c r="A5" s="38" t="s">
        <v>48</v>
      </c>
      <c r="B5" s="38" t="s">
        <v>49</v>
      </c>
      <c r="C5" s="558">
        <f>D5+E5</f>
        <v>620381870.54947221</v>
      </c>
      <c r="D5" s="558">
        <f>D8+D11+D14</f>
        <v>620381870.54947221</v>
      </c>
      <c r="E5" s="558"/>
      <c r="F5" s="558">
        <f>I5+G5+H5</f>
        <v>52098578</v>
      </c>
      <c r="G5" s="558">
        <f t="shared" ref="G5:J5" si="1">G8+G11+G14</f>
        <v>17869687</v>
      </c>
      <c r="H5" s="558"/>
      <c r="I5" s="558">
        <f t="shared" si="1"/>
        <v>34228891</v>
      </c>
      <c r="J5" s="558">
        <f t="shared" si="1"/>
        <v>310444818.67113054</v>
      </c>
      <c r="K5" s="558"/>
      <c r="L5" s="558"/>
      <c r="M5" s="558">
        <f>O5</f>
        <v>1802334</v>
      </c>
      <c r="N5" s="558"/>
      <c r="O5" s="558">
        <f>O8+O11+O14</f>
        <v>1802334</v>
      </c>
      <c r="P5" s="558"/>
      <c r="Q5" s="558">
        <f>C5+F5+J5+M5+P5</f>
        <v>984727601.22060275</v>
      </c>
      <c r="R5" s="453"/>
      <c r="S5" s="454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</row>
    <row r="6" spans="1:31" s="455" customFormat="1">
      <c r="A6" s="38" t="s">
        <v>62</v>
      </c>
      <c r="B6" s="38" t="s">
        <v>63</v>
      </c>
      <c r="C6" s="558">
        <f>D6+E6</f>
        <v>509741.72810000001</v>
      </c>
      <c r="D6" s="558">
        <f>D9+D12+D19+D22</f>
        <v>509741.72810000001</v>
      </c>
      <c r="E6" s="558"/>
      <c r="F6" s="558">
        <f>I6+G6+H6</f>
        <v>3017994</v>
      </c>
      <c r="G6" s="558"/>
      <c r="H6" s="558"/>
      <c r="I6" s="558">
        <f t="shared" ref="I6" si="2">I9+I12+I19+I22</f>
        <v>3017994</v>
      </c>
      <c r="J6" s="558"/>
      <c r="K6" s="558"/>
      <c r="L6" s="558"/>
      <c r="M6" s="558"/>
      <c r="N6" s="558"/>
      <c r="O6" s="558"/>
      <c r="P6" s="558"/>
      <c r="Q6" s="558">
        <f>C6+F6+J6+M6+P6</f>
        <v>3527735.7280999999</v>
      </c>
      <c r="R6" s="453"/>
      <c r="S6" s="456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</row>
    <row r="7" spans="1:31" s="455" customFormat="1" ht="39">
      <c r="A7" s="465" t="s">
        <v>1892</v>
      </c>
      <c r="B7" s="582" t="s">
        <v>1894</v>
      </c>
      <c r="C7" s="489">
        <f t="shared" ref="C7:Q7" si="3">C8+C9</f>
        <v>354806704.63996428</v>
      </c>
      <c r="D7" s="490">
        <f t="shared" si="3"/>
        <v>354806704.63996428</v>
      </c>
      <c r="E7" s="490"/>
      <c r="F7" s="489">
        <f t="shared" si="3"/>
        <v>14311641</v>
      </c>
      <c r="G7" s="490"/>
      <c r="H7" s="490"/>
      <c r="I7" s="490">
        <f t="shared" si="3"/>
        <v>14311641</v>
      </c>
      <c r="J7" s="489">
        <f t="shared" si="3"/>
        <v>86733667.17474331</v>
      </c>
      <c r="K7" s="490"/>
      <c r="L7" s="490"/>
      <c r="M7" s="489">
        <f t="shared" si="3"/>
        <v>1802334</v>
      </c>
      <c r="N7" s="490"/>
      <c r="O7" s="490">
        <f t="shared" si="3"/>
        <v>1802334</v>
      </c>
      <c r="P7" s="489"/>
      <c r="Q7" s="489">
        <f t="shared" si="3"/>
        <v>457654346.81470758</v>
      </c>
      <c r="R7" s="453"/>
      <c r="S7" s="456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</row>
    <row r="8" spans="1:31" s="460" customFormat="1">
      <c r="A8" s="485" t="s">
        <v>50</v>
      </c>
      <c r="B8" s="39" t="s">
        <v>51</v>
      </c>
      <c r="C8" s="558">
        <f>D8+E8</f>
        <v>354296962.91186428</v>
      </c>
      <c r="D8" s="559">
        <f>'ДФ 2015'!H13+'ДФ 2015'!H14+'ГБ 2015'!N87+'ГБ 2015'!N131+'ГБ 2015'!N100+'ГБ 2015'!N155+'ДФ 2015'!H9+'ДФ 2015'!H10+'ДФ 2015'!H18+'КОМУ 2015'!E5+'ДФ 2015'!J30+'ГБ 2015'!N213+'ГБ 2015'!N114+'ГБ 2015'!N54+'ГБ 2015'!N56+'ГБ 2015'!N60+'ГБ 2015'!N117+'ГБ 2015'!N139+'ГБ 2015'!N143+'ГБ 2015'!N162+'039 2015'!M9+'ДФ 2015'!H12+'ДФ 2015'!H17+'КОМУ 2015'!E6</f>
        <v>354296962.91186428</v>
      </c>
      <c r="E8" s="559"/>
      <c r="F8" s="558">
        <f>I8+G8+H8</f>
        <v>11293647</v>
      </c>
      <c r="G8" s="559"/>
      <c r="H8" s="559"/>
      <c r="I8" s="559">
        <f>'ОУ 2015'!D6+'ОУ 2015'!D7+'ОУ 2015'!D9+'ОУ 2015'!D10+'ОУ 2015'!D11</f>
        <v>11293647</v>
      </c>
      <c r="J8" s="558">
        <f>OДХold!M39+OДХold!M38</f>
        <v>86733667.17474331</v>
      </c>
      <c r="K8" s="559"/>
      <c r="L8" s="559"/>
      <c r="M8" s="558">
        <f t="shared" ref="M8:M48" si="4">O8</f>
        <v>1802334</v>
      </c>
      <c r="N8" s="559"/>
      <c r="O8" s="559">
        <f>ФХД2!C18</f>
        <v>1802334</v>
      </c>
      <c r="P8" s="558"/>
      <c r="Q8" s="558">
        <f>C8+F8+J8+M8+P8</f>
        <v>454126611.08660758</v>
      </c>
      <c r="R8" s="458"/>
      <c r="S8" s="459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</row>
    <row r="9" spans="1:31" s="460" customFormat="1">
      <c r="A9" s="485" t="s">
        <v>64</v>
      </c>
      <c r="B9" s="39" t="s">
        <v>65</v>
      </c>
      <c r="C9" s="558">
        <f>D9+E9</f>
        <v>509741.72810000001</v>
      </c>
      <c r="D9" s="559">
        <f>'ГБ 2015'!N67</f>
        <v>509741.72810000001</v>
      </c>
      <c r="E9" s="559"/>
      <c r="F9" s="558">
        <f>I9+G9+H9</f>
        <v>3017994</v>
      </c>
      <c r="G9" s="559"/>
      <c r="H9" s="559"/>
      <c r="I9" s="559">
        <f>'ОУ 2015'!D8</f>
        <v>3017994</v>
      </c>
      <c r="J9" s="558"/>
      <c r="K9" s="559"/>
      <c r="L9" s="559"/>
      <c r="M9" s="558"/>
      <c r="N9" s="559"/>
      <c r="O9" s="559"/>
      <c r="P9" s="558"/>
      <c r="Q9" s="558">
        <f>C9+F9+J9+M9+P9</f>
        <v>3527735.7280999999</v>
      </c>
      <c r="R9" s="458"/>
      <c r="S9" s="449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</row>
    <row r="10" spans="1:31" s="460" customFormat="1">
      <c r="A10" s="465" t="s">
        <v>1895</v>
      </c>
      <c r="B10" s="582" t="s">
        <v>1896</v>
      </c>
      <c r="C10" s="489">
        <f t="shared" ref="C10:Q10" si="5">C11+C12</f>
        <v>25753739.300000008</v>
      </c>
      <c r="D10" s="490">
        <f t="shared" si="5"/>
        <v>25753739.300000008</v>
      </c>
      <c r="E10" s="490"/>
      <c r="F10" s="489"/>
      <c r="G10" s="490"/>
      <c r="H10" s="490"/>
      <c r="I10" s="490"/>
      <c r="J10" s="489"/>
      <c r="K10" s="490"/>
      <c r="L10" s="490"/>
      <c r="M10" s="489"/>
      <c r="N10" s="490"/>
      <c r="O10" s="490"/>
      <c r="P10" s="489"/>
      <c r="Q10" s="489">
        <f t="shared" si="5"/>
        <v>25753739.300000008</v>
      </c>
      <c r="R10" s="458"/>
      <c r="S10" s="449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</row>
    <row r="11" spans="1:31" s="460" customFormat="1">
      <c r="A11" s="485" t="s">
        <v>52</v>
      </c>
      <c r="B11" s="39" t="s">
        <v>53</v>
      </c>
      <c r="C11" s="558">
        <f>D11+E11</f>
        <v>25753739.300000008</v>
      </c>
      <c r="D11" s="559">
        <f>'КОМУ 2015'!E7</f>
        <v>25753739.300000008</v>
      </c>
      <c r="E11" s="559"/>
      <c r="F11" s="558"/>
      <c r="G11" s="559"/>
      <c r="H11" s="559"/>
      <c r="I11" s="559"/>
      <c r="J11" s="558"/>
      <c r="K11" s="559"/>
      <c r="L11" s="559"/>
      <c r="M11" s="558"/>
      <c r="N11" s="559"/>
      <c r="O11" s="559"/>
      <c r="P11" s="558"/>
      <c r="Q11" s="558">
        <f>C11+F11+J11+M11+P11</f>
        <v>25753739.300000008</v>
      </c>
      <c r="R11" s="458"/>
      <c r="S11" s="449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</row>
    <row r="12" spans="1:31" s="460" customFormat="1">
      <c r="A12" s="486" t="s">
        <v>1897</v>
      </c>
      <c r="B12" s="447" t="s">
        <v>1913</v>
      </c>
      <c r="C12" s="558"/>
      <c r="D12" s="559"/>
      <c r="E12" s="559"/>
      <c r="F12" s="558"/>
      <c r="G12" s="559"/>
      <c r="H12" s="559"/>
      <c r="I12" s="559"/>
      <c r="J12" s="558"/>
      <c r="K12" s="559"/>
      <c r="L12" s="559"/>
      <c r="M12" s="558"/>
      <c r="N12" s="559"/>
      <c r="O12" s="559"/>
      <c r="P12" s="558"/>
      <c r="Q12" s="558"/>
      <c r="R12" s="458"/>
      <c r="S12" s="449"/>
      <c r="T12" s="458"/>
      <c r="U12" s="458"/>
      <c r="V12" s="458"/>
      <c r="W12" s="458"/>
      <c r="X12" s="458"/>
      <c r="Y12" s="458"/>
      <c r="Z12" s="458"/>
      <c r="AA12" s="458"/>
      <c r="AB12" s="458"/>
      <c r="AC12" s="458"/>
      <c r="AD12" s="458"/>
      <c r="AE12" s="458"/>
    </row>
    <row r="13" spans="1:31" s="460" customFormat="1">
      <c r="A13" s="465" t="s">
        <v>1898</v>
      </c>
      <c r="B13" s="582" t="s">
        <v>1899</v>
      </c>
      <c r="C13" s="489">
        <f t="shared" ref="C13:Q13" si="6">C14+C19</f>
        <v>240331168.33760795</v>
      </c>
      <c r="D13" s="490">
        <f t="shared" si="6"/>
        <v>240331168.33760795</v>
      </c>
      <c r="E13" s="490"/>
      <c r="F13" s="489">
        <f t="shared" si="6"/>
        <v>40804931</v>
      </c>
      <c r="G13" s="490">
        <f t="shared" si="6"/>
        <v>17869687</v>
      </c>
      <c r="H13" s="490"/>
      <c r="I13" s="490">
        <f t="shared" si="6"/>
        <v>22935244</v>
      </c>
      <c r="J13" s="489">
        <f t="shared" si="6"/>
        <v>223711151.49638721</v>
      </c>
      <c r="K13" s="490"/>
      <c r="L13" s="490"/>
      <c r="M13" s="489"/>
      <c r="N13" s="490"/>
      <c r="O13" s="490"/>
      <c r="P13" s="489"/>
      <c r="Q13" s="489">
        <f t="shared" si="6"/>
        <v>504847250.83399522</v>
      </c>
      <c r="R13" s="458"/>
      <c r="S13" s="449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</row>
    <row r="14" spans="1:31" s="460" customFormat="1">
      <c r="A14" s="485" t="s">
        <v>54</v>
      </c>
      <c r="B14" s="39" t="s">
        <v>55</v>
      </c>
      <c r="C14" s="558">
        <f t="shared" ref="C14:C17" si="7">D14+E14</f>
        <v>240331168.33760795</v>
      </c>
      <c r="D14" s="559">
        <f>D15+D16+D17+D18</f>
        <v>240331168.33760795</v>
      </c>
      <c r="E14" s="559"/>
      <c r="F14" s="558">
        <f t="shared" ref="F14:F18" si="8">I14+G14+H14</f>
        <v>40804931</v>
      </c>
      <c r="G14" s="559">
        <f>G15+G16+G17+G18+'НБ выпл.'!C29</f>
        <v>17869687</v>
      </c>
      <c r="H14" s="559"/>
      <c r="I14" s="559">
        <f>I15+I16+I17+I18-'НБ выпл.'!C29</f>
        <v>22935244</v>
      </c>
      <c r="J14" s="558">
        <f>J15+J16+J17+J18</f>
        <v>223711151.49638721</v>
      </c>
      <c r="K14" s="559"/>
      <c r="L14" s="559"/>
      <c r="M14" s="558"/>
      <c r="N14" s="559"/>
      <c r="O14" s="559"/>
      <c r="P14" s="558"/>
      <c r="Q14" s="558">
        <f t="shared" ref="Q14:Q18" si="9">C14+F14+J14+M14+P14</f>
        <v>504847250.83399522</v>
      </c>
      <c r="R14" s="458"/>
      <c r="S14" s="449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</row>
    <row r="15" spans="1:31" s="462" customFormat="1">
      <c r="A15" s="487" t="s">
        <v>56</v>
      </c>
      <c r="B15" s="457" t="s">
        <v>57</v>
      </c>
      <c r="C15" s="558">
        <f t="shared" si="7"/>
        <v>212705850.3470276</v>
      </c>
      <c r="D15" s="560">
        <f>'039 2015'!M6</f>
        <v>212705850.3470276</v>
      </c>
      <c r="E15" s="560"/>
      <c r="F15" s="558">
        <f t="shared" si="8"/>
        <v>18879715</v>
      </c>
      <c r="G15" s="560"/>
      <c r="H15" s="560"/>
      <c r="I15" s="560">
        <f>'ОУ 2015'!D12</f>
        <v>18879715</v>
      </c>
      <c r="J15" s="558">
        <f>OДХold!M35</f>
        <v>29063753.712609943</v>
      </c>
      <c r="K15" s="560"/>
      <c r="L15" s="560"/>
      <c r="M15" s="558"/>
      <c r="N15" s="560"/>
      <c r="O15" s="560"/>
      <c r="P15" s="558"/>
      <c r="Q15" s="558">
        <f t="shared" si="9"/>
        <v>260649319.05963755</v>
      </c>
      <c r="R15" s="461"/>
      <c r="S15" s="449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</row>
    <row r="16" spans="1:31" s="462" customFormat="1">
      <c r="A16" s="487" t="s">
        <v>58</v>
      </c>
      <c r="B16" s="457" t="s">
        <v>59</v>
      </c>
      <c r="C16" s="558"/>
      <c r="D16" s="560"/>
      <c r="E16" s="560"/>
      <c r="F16" s="558">
        <f t="shared" si="8"/>
        <v>2608225</v>
      </c>
      <c r="G16" s="560"/>
      <c r="H16" s="560"/>
      <c r="I16" s="560">
        <f>'ОУ 2015'!D14</f>
        <v>2608225</v>
      </c>
      <c r="J16" s="558">
        <f>OДХold!M36</f>
        <v>137958042.81397218</v>
      </c>
      <c r="K16" s="560"/>
      <c r="L16" s="560"/>
      <c r="M16" s="558"/>
      <c r="N16" s="560"/>
      <c r="O16" s="560"/>
      <c r="P16" s="558"/>
      <c r="Q16" s="558">
        <f t="shared" si="9"/>
        <v>140566267.81397218</v>
      </c>
      <c r="R16" s="461"/>
      <c r="S16" s="449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</row>
    <row r="17" spans="1:31" s="462" customFormat="1">
      <c r="A17" s="487" t="s">
        <v>60</v>
      </c>
      <c r="B17" s="457" t="s">
        <v>61</v>
      </c>
      <c r="C17" s="558">
        <f t="shared" si="7"/>
        <v>27625317.990580354</v>
      </c>
      <c r="D17" s="560">
        <f>'039 2015'!M7</f>
        <v>27625317.990580354</v>
      </c>
      <c r="E17" s="560"/>
      <c r="F17" s="558">
        <f t="shared" si="8"/>
        <v>5229822</v>
      </c>
      <c r="G17" s="560"/>
      <c r="H17" s="560"/>
      <c r="I17" s="560">
        <f>'ОУ 2015'!D13</f>
        <v>5229822</v>
      </c>
      <c r="J17" s="558"/>
      <c r="K17" s="560"/>
      <c r="L17" s="560"/>
      <c r="M17" s="558"/>
      <c r="N17" s="560"/>
      <c r="O17" s="560"/>
      <c r="P17" s="558"/>
      <c r="Q17" s="558">
        <f t="shared" si="9"/>
        <v>32855139.990580354</v>
      </c>
      <c r="R17" s="461"/>
      <c r="S17" s="449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</row>
    <row r="18" spans="1:31" s="462" customFormat="1" ht="42">
      <c r="A18" s="488" t="s">
        <v>1872</v>
      </c>
      <c r="B18" s="463" t="s">
        <v>1873</v>
      </c>
      <c r="C18" s="558"/>
      <c r="D18" s="560"/>
      <c r="E18" s="560"/>
      <c r="F18" s="558">
        <f t="shared" si="8"/>
        <v>14087169</v>
      </c>
      <c r="G18" s="560"/>
      <c r="H18" s="560"/>
      <c r="I18" s="560">
        <f>'ОУ 2015'!D15</f>
        <v>14087169</v>
      </c>
      <c r="J18" s="558">
        <f>OДХold!M37</f>
        <v>56689354.969805099</v>
      </c>
      <c r="K18" s="560"/>
      <c r="L18" s="560"/>
      <c r="M18" s="558"/>
      <c r="N18" s="560"/>
      <c r="O18" s="560"/>
      <c r="P18" s="558"/>
      <c r="Q18" s="558">
        <f t="shared" si="9"/>
        <v>70776523.969805092</v>
      </c>
      <c r="R18" s="461"/>
      <c r="S18" s="449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</row>
    <row r="19" spans="1:31" s="462" customFormat="1">
      <c r="A19" s="486" t="s">
        <v>1900</v>
      </c>
      <c r="B19" s="447" t="s">
        <v>1939</v>
      </c>
      <c r="C19" s="558"/>
      <c r="D19" s="559"/>
      <c r="E19" s="559"/>
      <c r="F19" s="558"/>
      <c r="G19" s="559"/>
      <c r="H19" s="559"/>
      <c r="I19" s="559"/>
      <c r="J19" s="558"/>
      <c r="K19" s="559"/>
      <c r="L19" s="559"/>
      <c r="M19" s="558"/>
      <c r="N19" s="559"/>
      <c r="O19" s="559"/>
      <c r="P19" s="558"/>
      <c r="Q19" s="558"/>
      <c r="R19" s="461"/>
      <c r="S19" s="449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</row>
    <row r="20" spans="1:31" s="462" customFormat="1">
      <c r="A20" s="465" t="s">
        <v>1904</v>
      </c>
      <c r="B20" s="582" t="s">
        <v>1905</v>
      </c>
      <c r="C20" s="489"/>
      <c r="D20" s="490"/>
      <c r="E20" s="490"/>
      <c r="F20" s="489"/>
      <c r="G20" s="490"/>
      <c r="H20" s="490"/>
      <c r="I20" s="490"/>
      <c r="J20" s="489"/>
      <c r="K20" s="490"/>
      <c r="L20" s="490"/>
      <c r="M20" s="489"/>
      <c r="N20" s="490"/>
      <c r="O20" s="490"/>
      <c r="P20" s="489"/>
      <c r="Q20" s="489"/>
      <c r="R20" s="461"/>
      <c r="S20" s="449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</row>
    <row r="21" spans="1:31" s="462" customFormat="1">
      <c r="A21" s="486" t="s">
        <v>1902</v>
      </c>
      <c r="B21" s="447" t="s">
        <v>1903</v>
      </c>
      <c r="C21" s="558"/>
      <c r="D21" s="559"/>
      <c r="E21" s="559"/>
      <c r="F21" s="558"/>
      <c r="G21" s="559"/>
      <c r="H21" s="559"/>
      <c r="I21" s="559"/>
      <c r="J21" s="558"/>
      <c r="K21" s="559"/>
      <c r="L21" s="559"/>
      <c r="M21" s="558"/>
      <c r="N21" s="559"/>
      <c r="O21" s="559"/>
      <c r="P21" s="558"/>
      <c r="Q21" s="558"/>
      <c r="R21" s="461"/>
      <c r="S21" s="449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</row>
    <row r="22" spans="1:31" s="462" customFormat="1">
      <c r="A22" s="486" t="s">
        <v>1901</v>
      </c>
      <c r="B22" s="447" t="s">
        <v>1914</v>
      </c>
      <c r="C22" s="558"/>
      <c r="D22" s="559"/>
      <c r="E22" s="559"/>
      <c r="F22" s="558"/>
      <c r="G22" s="559"/>
      <c r="H22" s="559"/>
      <c r="I22" s="559"/>
      <c r="J22" s="558"/>
      <c r="K22" s="559"/>
      <c r="L22" s="559"/>
      <c r="M22" s="558"/>
      <c r="N22" s="559"/>
      <c r="O22" s="559"/>
      <c r="P22" s="558"/>
      <c r="Q22" s="558"/>
      <c r="R22" s="461"/>
      <c r="S22" s="449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</row>
    <row r="23" spans="1:31" s="455" customFormat="1">
      <c r="A23" s="38" t="s">
        <v>66</v>
      </c>
      <c r="B23" s="38" t="s">
        <v>67</v>
      </c>
      <c r="C23" s="558">
        <f t="shared" ref="C23:C49" si="10">D23+E23</f>
        <v>269179.99199999997</v>
      </c>
      <c r="D23" s="558">
        <f>'ГБ 2015'!V76+D24+D25+D26+D27</f>
        <v>269179.99199999997</v>
      </c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>
        <f t="shared" ref="Q23:Q49" si="11">C23+F23+J23+M23+P23</f>
        <v>269179.99199999997</v>
      </c>
      <c r="R23" s="453"/>
      <c r="S23" s="456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</row>
    <row r="24" spans="1:31" s="455" customFormat="1">
      <c r="A24" s="486" t="s">
        <v>1906</v>
      </c>
      <c r="B24" s="447" t="s">
        <v>1915</v>
      </c>
      <c r="C24" s="558"/>
      <c r="D24" s="559"/>
      <c r="E24" s="559"/>
      <c r="F24" s="558"/>
      <c r="G24" s="559"/>
      <c r="H24" s="559"/>
      <c r="I24" s="559"/>
      <c r="J24" s="558"/>
      <c r="K24" s="559"/>
      <c r="L24" s="559"/>
      <c r="M24" s="558"/>
      <c r="N24" s="559"/>
      <c r="O24" s="559"/>
      <c r="P24" s="558"/>
      <c r="Q24" s="558"/>
      <c r="R24" s="453"/>
      <c r="S24" s="456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</row>
    <row r="25" spans="1:31" s="455" customFormat="1">
      <c r="A25" s="486" t="s">
        <v>1907</v>
      </c>
      <c r="B25" s="447" t="s">
        <v>1916</v>
      </c>
      <c r="C25" s="558"/>
      <c r="D25" s="559"/>
      <c r="E25" s="559"/>
      <c r="F25" s="558"/>
      <c r="G25" s="559"/>
      <c r="H25" s="559"/>
      <c r="I25" s="559"/>
      <c r="J25" s="558"/>
      <c r="K25" s="559"/>
      <c r="L25" s="559"/>
      <c r="M25" s="558"/>
      <c r="N25" s="559"/>
      <c r="O25" s="559"/>
      <c r="P25" s="558"/>
      <c r="Q25" s="558"/>
      <c r="R25" s="453"/>
      <c r="S25" s="456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</row>
    <row r="26" spans="1:31" s="455" customFormat="1">
      <c r="A26" s="486" t="s">
        <v>1908</v>
      </c>
      <c r="B26" s="447" t="s">
        <v>1917</v>
      </c>
      <c r="C26" s="558"/>
      <c r="D26" s="559"/>
      <c r="E26" s="559"/>
      <c r="F26" s="558"/>
      <c r="G26" s="559"/>
      <c r="H26" s="559"/>
      <c r="I26" s="559"/>
      <c r="J26" s="558"/>
      <c r="K26" s="559"/>
      <c r="L26" s="559"/>
      <c r="M26" s="558"/>
      <c r="N26" s="559"/>
      <c r="O26" s="559"/>
      <c r="P26" s="558"/>
      <c r="Q26" s="558"/>
      <c r="R26" s="453"/>
      <c r="S26" s="456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</row>
    <row r="27" spans="1:31" s="455" customFormat="1">
      <c r="A27" s="486" t="s">
        <v>1909</v>
      </c>
      <c r="B27" s="447" t="s">
        <v>1918</v>
      </c>
      <c r="C27" s="558"/>
      <c r="D27" s="559"/>
      <c r="E27" s="559"/>
      <c r="F27" s="558"/>
      <c r="G27" s="559"/>
      <c r="H27" s="559"/>
      <c r="I27" s="559"/>
      <c r="J27" s="558"/>
      <c r="K27" s="559"/>
      <c r="L27" s="559"/>
      <c r="M27" s="558"/>
      <c r="N27" s="559"/>
      <c r="O27" s="559"/>
      <c r="P27" s="558"/>
      <c r="Q27" s="558"/>
      <c r="R27" s="453"/>
      <c r="S27" s="456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</row>
    <row r="28" spans="1:31" s="455" customFormat="1">
      <c r="A28" s="38" t="s">
        <v>68</v>
      </c>
      <c r="B28" s="38" t="s">
        <v>69</v>
      </c>
      <c r="C28" s="558">
        <f t="shared" si="10"/>
        <v>37021204.12273781</v>
      </c>
      <c r="D28" s="558">
        <f>D30+D31+D29</f>
        <v>37021204.12273781</v>
      </c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>
        <f t="shared" si="11"/>
        <v>37021204.12273781</v>
      </c>
      <c r="R28" s="453"/>
      <c r="S28" s="456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</row>
    <row r="29" spans="1:31" s="455" customFormat="1">
      <c r="A29" s="486" t="s">
        <v>1910</v>
      </c>
      <c r="B29" s="447" t="s">
        <v>1911</v>
      </c>
      <c r="C29" s="558"/>
      <c r="D29" s="559"/>
      <c r="E29" s="559"/>
      <c r="F29" s="558"/>
      <c r="G29" s="559"/>
      <c r="H29" s="559"/>
      <c r="I29" s="559"/>
      <c r="J29" s="558"/>
      <c r="K29" s="559"/>
      <c r="L29" s="559"/>
      <c r="M29" s="558"/>
      <c r="N29" s="559"/>
      <c r="O29" s="559"/>
      <c r="P29" s="558"/>
      <c r="Q29" s="558"/>
      <c r="R29" s="453"/>
      <c r="S29" s="456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</row>
    <row r="30" spans="1:31" s="460" customFormat="1">
      <c r="A30" s="485" t="s">
        <v>70</v>
      </c>
      <c r="B30" s="39" t="s">
        <v>71</v>
      </c>
      <c r="C30" s="558">
        <f t="shared" si="10"/>
        <v>1347927.9</v>
      </c>
      <c r="D30" s="559">
        <f>'КОМУ 2015'!E8</f>
        <v>1347927.9</v>
      </c>
      <c r="E30" s="559"/>
      <c r="F30" s="558"/>
      <c r="G30" s="559"/>
      <c r="H30" s="559"/>
      <c r="I30" s="559"/>
      <c r="J30" s="558"/>
      <c r="K30" s="559"/>
      <c r="L30" s="559"/>
      <c r="M30" s="558"/>
      <c r="N30" s="559"/>
      <c r="O30" s="559"/>
      <c r="P30" s="558"/>
      <c r="Q30" s="558">
        <f t="shared" si="11"/>
        <v>1347927.9</v>
      </c>
      <c r="R30" s="458"/>
      <c r="S30" s="449"/>
      <c r="T30" s="458"/>
      <c r="U30" s="458"/>
      <c r="V30" s="458"/>
      <c r="W30" s="458"/>
      <c r="X30" s="458"/>
      <c r="Y30" s="458"/>
      <c r="Z30" s="458"/>
      <c r="AA30" s="458"/>
      <c r="AB30" s="458"/>
      <c r="AC30" s="458"/>
      <c r="AD30" s="458"/>
      <c r="AE30" s="458"/>
    </row>
    <row r="31" spans="1:31" s="460" customFormat="1">
      <c r="A31" s="485" t="s">
        <v>72</v>
      </c>
      <c r="B31" s="39" t="s">
        <v>73</v>
      </c>
      <c r="C31" s="558">
        <f t="shared" si="10"/>
        <v>35673276.222737812</v>
      </c>
      <c r="D31" s="559">
        <f>'ДФ 2015'!H16+'ГБ 2015'!N195+'ГБ 2015'!N202+'ГБ 2015'!N237+'ГБ 2015'!N282+'039 2015'!M8+'ГБ 2015'!N210</f>
        <v>35673276.222737812</v>
      </c>
      <c r="E31" s="559"/>
      <c r="F31" s="558"/>
      <c r="G31" s="559"/>
      <c r="H31" s="559"/>
      <c r="I31" s="559"/>
      <c r="J31" s="558"/>
      <c r="K31" s="559"/>
      <c r="L31" s="559"/>
      <c r="M31" s="558"/>
      <c r="N31" s="559"/>
      <c r="O31" s="559"/>
      <c r="P31" s="558"/>
      <c r="Q31" s="558">
        <f t="shared" si="11"/>
        <v>35673276.222737812</v>
      </c>
      <c r="R31" s="458"/>
      <c r="S31" s="449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</row>
    <row r="32" spans="1:31" s="455" customFormat="1">
      <c r="A32" s="38" t="s">
        <v>74</v>
      </c>
      <c r="B32" s="38" t="s">
        <v>75</v>
      </c>
      <c r="C32" s="558">
        <f t="shared" si="10"/>
        <v>59646239.185799994</v>
      </c>
      <c r="D32" s="558">
        <f>D33+D37</f>
        <v>59646239.185799994</v>
      </c>
      <c r="E32" s="558"/>
      <c r="F32" s="558"/>
      <c r="G32" s="558"/>
      <c r="H32" s="558"/>
      <c r="I32" s="558"/>
      <c r="J32" s="558">
        <f t="shared" ref="J32" si="12">J33+J37</f>
        <v>213395676.15709379</v>
      </c>
      <c r="K32" s="558"/>
      <c r="L32" s="558"/>
      <c r="M32" s="558"/>
      <c r="N32" s="558"/>
      <c r="O32" s="558"/>
      <c r="P32" s="558"/>
      <c r="Q32" s="558">
        <f t="shared" si="11"/>
        <v>273041915.34289378</v>
      </c>
      <c r="R32" s="453"/>
      <c r="S32" s="456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</row>
    <row r="33" spans="1:31" s="462" customFormat="1" ht="42">
      <c r="A33" s="485" t="s">
        <v>76</v>
      </c>
      <c r="B33" s="39" t="s">
        <v>77</v>
      </c>
      <c r="C33" s="558">
        <f t="shared" si="10"/>
        <v>57953257.585799992</v>
      </c>
      <c r="D33" s="559">
        <f>'ГБ 2015'!N146+'ГБ 2015'!N148+'ГБ 2015'!N150+'ГБ 2015'!N152+'ГБ 2015'!N160+'ГБ 2015'!N120+'ГБ 2015'!N122+'ГБ 2015'!N125+'ГБ 2015'!N128+'ГБ 2015'!N137+'ГБ 2015'!N167+'ГБ 2015'!N178+'ГБ 2015'!N182+'ГБ 2015'!N190+D34+D35+D36</f>
        <v>57953257.585799992</v>
      </c>
      <c r="E33" s="559"/>
      <c r="F33" s="558"/>
      <c r="G33" s="559"/>
      <c r="H33" s="559"/>
      <c r="I33" s="559"/>
      <c r="J33" s="558">
        <f>OДХold!M32+J34+J35+J36</f>
        <v>198033593.11061755</v>
      </c>
      <c r="K33" s="559"/>
      <c r="L33" s="559"/>
      <c r="M33" s="558"/>
      <c r="N33" s="559"/>
      <c r="O33" s="559"/>
      <c r="P33" s="558"/>
      <c r="Q33" s="558">
        <f t="shared" si="11"/>
        <v>255986850.69641754</v>
      </c>
      <c r="R33" s="461"/>
      <c r="S33" s="449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</row>
    <row r="34" spans="1:31" s="462" customFormat="1">
      <c r="A34" s="488" t="s">
        <v>1912</v>
      </c>
      <c r="B34" s="463" t="s">
        <v>1919</v>
      </c>
      <c r="C34" s="558"/>
      <c r="D34" s="560"/>
      <c r="E34" s="560"/>
      <c r="F34" s="558"/>
      <c r="G34" s="560"/>
      <c r="H34" s="560"/>
      <c r="I34" s="560"/>
      <c r="J34" s="558"/>
      <c r="K34" s="560"/>
      <c r="L34" s="560"/>
      <c r="M34" s="558"/>
      <c r="N34" s="560"/>
      <c r="O34" s="560"/>
      <c r="P34" s="558"/>
      <c r="Q34" s="558"/>
      <c r="R34" s="461"/>
      <c r="S34" s="449"/>
      <c r="T34" s="461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</row>
    <row r="35" spans="1:31" s="462" customFormat="1">
      <c r="A35" s="488" t="s">
        <v>1920</v>
      </c>
      <c r="B35" s="463" t="s">
        <v>1921</v>
      </c>
      <c r="C35" s="558"/>
      <c r="D35" s="560"/>
      <c r="E35" s="560"/>
      <c r="F35" s="558"/>
      <c r="G35" s="560"/>
      <c r="H35" s="560"/>
      <c r="I35" s="560"/>
      <c r="J35" s="558"/>
      <c r="K35" s="560"/>
      <c r="L35" s="560"/>
      <c r="M35" s="558"/>
      <c r="N35" s="560"/>
      <c r="O35" s="560"/>
      <c r="P35" s="558"/>
      <c r="Q35" s="558"/>
      <c r="R35" s="461"/>
      <c r="S35" s="449"/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</row>
    <row r="36" spans="1:31" s="462" customFormat="1">
      <c r="A36" s="488" t="s">
        <v>1922</v>
      </c>
      <c r="B36" s="463" t="s">
        <v>1923</v>
      </c>
      <c r="C36" s="558"/>
      <c r="D36" s="560"/>
      <c r="E36" s="560"/>
      <c r="F36" s="558"/>
      <c r="G36" s="560"/>
      <c r="H36" s="560"/>
      <c r="I36" s="560"/>
      <c r="J36" s="558"/>
      <c r="K36" s="560"/>
      <c r="L36" s="560"/>
      <c r="M36" s="558"/>
      <c r="N36" s="560"/>
      <c r="O36" s="560"/>
      <c r="P36" s="558"/>
      <c r="Q36" s="558"/>
      <c r="R36" s="461"/>
      <c r="S36" s="449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</row>
    <row r="37" spans="1:31" s="462" customFormat="1" ht="42">
      <c r="A37" s="485" t="s">
        <v>78</v>
      </c>
      <c r="B37" s="39" t="s">
        <v>79</v>
      </c>
      <c r="C37" s="558">
        <f t="shared" si="10"/>
        <v>1692981.5999999999</v>
      </c>
      <c r="D37" s="559">
        <f>'КОМУ 2015'!E9</f>
        <v>1692981.5999999999</v>
      </c>
      <c r="E37" s="559"/>
      <c r="F37" s="558"/>
      <c r="G37" s="559"/>
      <c r="H37" s="559"/>
      <c r="I37" s="559"/>
      <c r="J37" s="558">
        <f>OДХold!M33+OДХold!M34</f>
        <v>15362083.046476241</v>
      </c>
      <c r="K37" s="559"/>
      <c r="L37" s="559"/>
      <c r="M37" s="558"/>
      <c r="N37" s="559"/>
      <c r="O37" s="559"/>
      <c r="P37" s="558"/>
      <c r="Q37" s="558">
        <f t="shared" si="11"/>
        <v>17055064.646476243</v>
      </c>
      <c r="R37" s="461"/>
      <c r="S37" s="449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</row>
    <row r="38" spans="1:31" s="455" customFormat="1">
      <c r="A38" s="38" t="s">
        <v>80</v>
      </c>
      <c r="B38" s="38" t="s">
        <v>81</v>
      </c>
      <c r="C38" s="558">
        <f t="shared" si="10"/>
        <v>45564367.279660001</v>
      </c>
      <c r="D38" s="558">
        <f>D39+D40+D41+D43+D42+D44</f>
        <v>45564367.279660001</v>
      </c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>
        <f t="shared" si="11"/>
        <v>45564367.279660001</v>
      </c>
      <c r="R38" s="453"/>
      <c r="S38" s="456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</row>
    <row r="39" spans="1:31" s="462" customFormat="1">
      <c r="A39" s="485" t="s">
        <v>82</v>
      </c>
      <c r="B39" s="39" t="s">
        <v>83</v>
      </c>
      <c r="C39" s="558">
        <f t="shared" si="10"/>
        <v>6917860.3056999994</v>
      </c>
      <c r="D39" s="559">
        <f>'ДФ 2015'!H15+'ГБ 2015'!N93+'ГБ 2015'!N106+'ГБ 2015'!N96+'ГБ 2015'!N109+'ГБ 2015'!N231+'ГБ 2015'!N276</f>
        <v>6917860.3056999994</v>
      </c>
      <c r="E39" s="559"/>
      <c r="F39" s="558"/>
      <c r="G39" s="559"/>
      <c r="H39" s="559"/>
      <c r="I39" s="559"/>
      <c r="J39" s="558"/>
      <c r="K39" s="559"/>
      <c r="L39" s="559"/>
      <c r="M39" s="558"/>
      <c r="N39" s="559"/>
      <c r="O39" s="559"/>
      <c r="P39" s="558"/>
      <c r="Q39" s="558">
        <f t="shared" si="11"/>
        <v>6917860.3056999994</v>
      </c>
      <c r="R39" s="461"/>
      <c r="S39" s="449"/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</row>
    <row r="40" spans="1:31" s="462" customFormat="1">
      <c r="A40" s="485" t="s">
        <v>84</v>
      </c>
      <c r="B40" s="39" t="s">
        <v>85</v>
      </c>
      <c r="C40" s="558">
        <f t="shared" si="10"/>
        <v>19572678.6745</v>
      </c>
      <c r="D40" s="559">
        <f>'ГБ 2015'!N157+'ГБ 2015'!N134</f>
        <v>19572678.6745</v>
      </c>
      <c r="E40" s="559"/>
      <c r="F40" s="558"/>
      <c r="G40" s="559"/>
      <c r="H40" s="559"/>
      <c r="I40" s="559"/>
      <c r="J40" s="558"/>
      <c r="K40" s="559"/>
      <c r="L40" s="559"/>
      <c r="M40" s="558"/>
      <c r="N40" s="559"/>
      <c r="O40" s="559"/>
      <c r="P40" s="558"/>
      <c r="Q40" s="558">
        <f t="shared" si="11"/>
        <v>19572678.6745</v>
      </c>
      <c r="R40" s="461"/>
      <c r="S40" s="449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</row>
    <row r="41" spans="1:31" s="462" customFormat="1">
      <c r="A41" s="485" t="s">
        <v>1274</v>
      </c>
      <c r="B41" s="39" t="s">
        <v>1275</v>
      </c>
      <c r="C41" s="558">
        <f t="shared" si="10"/>
        <v>3956897.7944</v>
      </c>
      <c r="D41" s="559">
        <f>'ГБ 2015'!N172+'ГБ 2015'!N185</f>
        <v>3956897.7944</v>
      </c>
      <c r="E41" s="559"/>
      <c r="F41" s="558"/>
      <c r="G41" s="559"/>
      <c r="H41" s="559"/>
      <c r="I41" s="559"/>
      <c r="J41" s="558"/>
      <c r="K41" s="559"/>
      <c r="L41" s="559"/>
      <c r="M41" s="558"/>
      <c r="N41" s="559"/>
      <c r="O41" s="559"/>
      <c r="P41" s="558"/>
      <c r="Q41" s="558">
        <f t="shared" si="11"/>
        <v>3956897.7944</v>
      </c>
      <c r="R41" s="461"/>
      <c r="S41" s="449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</row>
    <row r="42" spans="1:31" s="462" customFormat="1">
      <c r="A42" s="486" t="s">
        <v>1874</v>
      </c>
      <c r="B42" s="447" t="s">
        <v>1875</v>
      </c>
      <c r="C42" s="558">
        <f t="shared" si="10"/>
        <v>3232710.3705000002</v>
      </c>
      <c r="D42" s="559">
        <f>'ГБ 2015'!N103+'ГБ 2015'!N90</f>
        <v>3232710.3705000002</v>
      </c>
      <c r="E42" s="559"/>
      <c r="F42" s="558"/>
      <c r="G42" s="559"/>
      <c r="H42" s="559"/>
      <c r="I42" s="559"/>
      <c r="J42" s="558"/>
      <c r="K42" s="559"/>
      <c r="L42" s="559"/>
      <c r="M42" s="558"/>
      <c r="N42" s="559"/>
      <c r="O42" s="559"/>
      <c r="P42" s="558"/>
      <c r="Q42" s="558">
        <f t="shared" si="11"/>
        <v>3232710.3705000002</v>
      </c>
      <c r="R42" s="461"/>
      <c r="S42" s="449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</row>
    <row r="43" spans="1:31" s="462" customFormat="1" ht="42">
      <c r="A43" s="485" t="s">
        <v>86</v>
      </c>
      <c r="B43" s="39" t="s">
        <v>87</v>
      </c>
      <c r="C43" s="558">
        <f t="shared" si="10"/>
        <v>11884220.13456</v>
      </c>
      <c r="D43" s="559">
        <f>'ДФ 2015'!H11+'ГБ 2015'!N113+'РБ 2015'!N39+'ГБ 2015'!N98+'ГБ 2015'!N111</f>
        <v>11884220.13456</v>
      </c>
      <c r="E43" s="559"/>
      <c r="F43" s="558"/>
      <c r="G43" s="559"/>
      <c r="H43" s="559"/>
      <c r="I43" s="559"/>
      <c r="J43" s="558"/>
      <c r="K43" s="559"/>
      <c r="L43" s="559"/>
      <c r="M43" s="558"/>
      <c r="N43" s="559"/>
      <c r="O43" s="559"/>
      <c r="P43" s="558"/>
      <c r="Q43" s="558">
        <f t="shared" si="11"/>
        <v>11884220.13456</v>
      </c>
      <c r="R43" s="461"/>
      <c r="S43" s="449"/>
      <c r="T43" s="461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</row>
    <row r="44" spans="1:31" s="462" customFormat="1" ht="42">
      <c r="A44" s="486" t="s">
        <v>1924</v>
      </c>
      <c r="B44" s="447" t="s">
        <v>1925</v>
      </c>
      <c r="C44" s="558"/>
      <c r="D44" s="559"/>
      <c r="E44" s="559"/>
      <c r="F44" s="558"/>
      <c r="G44" s="559"/>
      <c r="H44" s="559"/>
      <c r="I44" s="559"/>
      <c r="J44" s="558"/>
      <c r="K44" s="559"/>
      <c r="L44" s="559"/>
      <c r="M44" s="558"/>
      <c r="N44" s="559"/>
      <c r="O44" s="559"/>
      <c r="P44" s="558"/>
      <c r="Q44" s="558"/>
      <c r="R44" s="461"/>
      <c r="S44" s="449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</row>
    <row r="45" spans="1:31" s="455" customFormat="1" ht="42">
      <c r="A45" s="38" t="s">
        <v>88</v>
      </c>
      <c r="B45" s="38" t="s">
        <v>89</v>
      </c>
      <c r="C45" s="558">
        <f t="shared" si="10"/>
        <v>7677279.4342000009</v>
      </c>
      <c r="D45" s="558">
        <f>D46+D47</f>
        <v>7677279.4342000009</v>
      </c>
      <c r="E45" s="558"/>
      <c r="F45" s="558">
        <f t="shared" ref="F45:F47" si="13">I45+G45+H45</f>
        <v>2707819</v>
      </c>
      <c r="G45" s="558">
        <f>G46+G47</f>
        <v>2707819</v>
      </c>
      <c r="H45" s="558"/>
      <c r="I45" s="558"/>
      <c r="J45" s="558"/>
      <c r="K45" s="558"/>
      <c r="L45" s="558"/>
      <c r="M45" s="558"/>
      <c r="N45" s="558"/>
      <c r="O45" s="558"/>
      <c r="P45" s="558"/>
      <c r="Q45" s="558">
        <f t="shared" si="11"/>
        <v>10385098.4342</v>
      </c>
      <c r="R45" s="453"/>
      <c r="S45" s="454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</row>
    <row r="46" spans="1:31" s="462" customFormat="1" ht="42">
      <c r="A46" s="485" t="s">
        <v>90</v>
      </c>
      <c r="B46" s="39" t="s">
        <v>89</v>
      </c>
      <c r="C46" s="558">
        <f t="shared" si="10"/>
        <v>7677279.4342000009</v>
      </c>
      <c r="D46" s="559">
        <f>'ГБ 2015'!N220+'ГБ 2015'!N228+'ГБ 2015'!N241+'ГБ 2015'!N273+'ГБ 2015'!N238+'ГБ 2015'!N283</f>
        <v>7677279.4342000009</v>
      </c>
      <c r="E46" s="559"/>
      <c r="F46" s="558"/>
      <c r="G46" s="559"/>
      <c r="H46" s="559"/>
      <c r="I46" s="559"/>
      <c r="J46" s="558"/>
      <c r="K46" s="559"/>
      <c r="L46" s="559"/>
      <c r="M46" s="558"/>
      <c r="N46" s="559"/>
      <c r="O46" s="559"/>
      <c r="P46" s="558"/>
      <c r="Q46" s="558">
        <f t="shared" si="11"/>
        <v>7677279.4342000009</v>
      </c>
      <c r="R46" s="461"/>
      <c r="S46" s="449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</row>
    <row r="47" spans="1:31" s="462" customFormat="1">
      <c r="A47" s="485" t="s">
        <v>91</v>
      </c>
      <c r="B47" s="39" t="s">
        <v>92</v>
      </c>
      <c r="C47" s="558"/>
      <c r="D47" s="559"/>
      <c r="E47" s="559"/>
      <c r="F47" s="558">
        <f t="shared" si="13"/>
        <v>2707819</v>
      </c>
      <c r="G47" s="559">
        <f>'НБ прем.'!F30</f>
        <v>2707819</v>
      </c>
      <c r="H47" s="559"/>
      <c r="I47" s="559"/>
      <c r="J47" s="558"/>
      <c r="K47" s="559"/>
      <c r="L47" s="559"/>
      <c r="M47" s="558"/>
      <c r="N47" s="559"/>
      <c r="O47" s="559"/>
      <c r="P47" s="558"/>
      <c r="Q47" s="558">
        <f t="shared" si="11"/>
        <v>2707819</v>
      </c>
      <c r="R47" s="461"/>
      <c r="S47" s="449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</row>
    <row r="48" spans="1:31" s="455" customFormat="1">
      <c r="A48" s="448" t="s">
        <v>1876</v>
      </c>
      <c r="B48" s="448" t="s">
        <v>1877</v>
      </c>
      <c r="C48" s="558">
        <f t="shared" si="10"/>
        <v>11930154.8013</v>
      </c>
      <c r="D48" s="558">
        <f>'ГБ 2015'!N77+'ГБ 2015'!N78+'ГБ 2015'!N226+'ГБ 2015'!N225+'ГБ 2015'!N224+'ГБ 2015'!N223+'ГБ 2015'!N65+'ГБ 2015'!N80+'РБ 2015'!N41+'ГБ 2015'!N247+'ГБ 2015'!N248+'ГБ 2015'!N249+'ГБ 2015'!N250+'ГБ 2015'!N290</f>
        <v>11930154.8013</v>
      </c>
      <c r="E48" s="558"/>
      <c r="F48" s="558"/>
      <c r="G48" s="558"/>
      <c r="H48" s="558"/>
      <c r="I48" s="558"/>
      <c r="J48" s="558"/>
      <c r="K48" s="558"/>
      <c r="L48" s="558"/>
      <c r="M48" s="558">
        <f t="shared" si="4"/>
        <v>2829095.06</v>
      </c>
      <c r="N48" s="558"/>
      <c r="O48" s="558">
        <f>'РБ 2015'!N57+Доноры!O15</f>
        <v>2829095.06</v>
      </c>
      <c r="P48" s="558"/>
      <c r="Q48" s="558">
        <f t="shared" si="11"/>
        <v>14759249.861300001</v>
      </c>
      <c r="R48" s="453"/>
      <c r="S48" s="456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</row>
    <row r="49" spans="1:31" s="455" customFormat="1" ht="38.1" customHeight="1">
      <c r="A49" s="1187" t="s">
        <v>46</v>
      </c>
      <c r="B49" s="1188"/>
      <c r="C49" s="558">
        <f t="shared" si="10"/>
        <v>783000037.09326994</v>
      </c>
      <c r="D49" s="558">
        <f t="shared" ref="D49:J49" si="14">D5+D6+D23+D28+D32+D38+D45+D48</f>
        <v>783000037.09326994</v>
      </c>
      <c r="E49" s="558"/>
      <c r="F49" s="558">
        <f t="shared" si="14"/>
        <v>57824391</v>
      </c>
      <c r="G49" s="558">
        <f t="shared" si="14"/>
        <v>20577506</v>
      </c>
      <c r="H49" s="558"/>
      <c r="I49" s="558">
        <f t="shared" si="14"/>
        <v>37246885</v>
      </c>
      <c r="J49" s="558">
        <f t="shared" si="14"/>
        <v>523840494.8282243</v>
      </c>
      <c r="K49" s="558"/>
      <c r="L49" s="558"/>
      <c r="M49" s="558">
        <f>O49</f>
        <v>4631429.0600000005</v>
      </c>
      <c r="N49" s="558"/>
      <c r="O49" s="558">
        <f>O5+O6+O23+O28+O32+O38+O45+O48</f>
        <v>4631429.0600000005</v>
      </c>
      <c r="P49" s="558"/>
      <c r="Q49" s="561">
        <f t="shared" si="11"/>
        <v>1369296351.9814942</v>
      </c>
      <c r="R49" s="453"/>
      <c r="S49" s="456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</row>
    <row r="50" spans="1:31" ht="26.25">
      <c r="C50" s="172"/>
      <c r="D50" s="29"/>
      <c r="E50" s="29"/>
      <c r="F50" s="29"/>
      <c r="G50" s="29"/>
      <c r="H50" s="29"/>
      <c r="I50" s="29"/>
      <c r="J50" s="172"/>
      <c r="K50" s="172"/>
      <c r="L50" s="172"/>
      <c r="M50" s="29"/>
      <c r="N50" s="29"/>
      <c r="O50" s="29"/>
      <c r="P50" s="29"/>
      <c r="Q50" s="175"/>
    </row>
    <row r="51" spans="1:31">
      <c r="Q51" s="442"/>
      <c r="AD51" s="3"/>
      <c r="AE51" s="3"/>
    </row>
    <row r="52" spans="1:31">
      <c r="Q52" s="171"/>
    </row>
    <row r="53" spans="1:31">
      <c r="Q53" s="442"/>
      <c r="AE53" s="3"/>
    </row>
    <row r="54" spans="1:31">
      <c r="D54" s="29"/>
      <c r="E54" s="29"/>
      <c r="Q54" s="22"/>
      <c r="AE54" s="3"/>
    </row>
    <row r="55" spans="1:31">
      <c r="D55" s="29"/>
      <c r="E55" s="29"/>
      <c r="Q55" s="442"/>
      <c r="AE55" s="3"/>
    </row>
    <row r="56" spans="1:31">
      <c r="D56" s="29"/>
      <c r="E56" s="29"/>
      <c r="Q56" s="22"/>
      <c r="AE56" s="3"/>
    </row>
    <row r="57" spans="1:31" ht="19.5">
      <c r="A57" s="3"/>
      <c r="B57" s="3"/>
      <c r="C57" s="3"/>
      <c r="D57" s="29"/>
      <c r="E57" s="29"/>
      <c r="Q57" s="443"/>
      <c r="AE57" s="3"/>
    </row>
    <row r="58" spans="1:31" ht="18.75">
      <c r="A58" s="3"/>
      <c r="B58" s="3"/>
      <c r="C58" s="3"/>
      <c r="D58" s="29"/>
      <c r="E58" s="29"/>
      <c r="Q58" s="22"/>
      <c r="S58" s="441"/>
      <c r="AE58" s="3"/>
    </row>
    <row r="59" spans="1:31" ht="18.75">
      <c r="A59" s="3"/>
      <c r="B59" s="3"/>
      <c r="C59" s="3"/>
      <c r="D59" s="29"/>
      <c r="E59" s="29"/>
      <c r="Q59" s="27"/>
      <c r="AE59" s="3"/>
    </row>
    <row r="60" spans="1:31" ht="18.75">
      <c r="A60" s="3"/>
      <c r="B60" s="3"/>
      <c r="C60" s="3"/>
      <c r="Q60" s="27"/>
      <c r="AE60" s="3"/>
    </row>
    <row r="61" spans="1:31" ht="18.75">
      <c r="A61" s="3"/>
      <c r="B61" s="3"/>
      <c r="C61" s="3"/>
      <c r="Q61" s="27"/>
      <c r="AE61" s="3"/>
    </row>
  </sheetData>
  <sheetProtection selectLockedCells="1" selectUnlockedCells="1"/>
  <mergeCells count="7">
    <mergeCell ref="A49:B49"/>
    <mergeCell ref="M1:O1"/>
    <mergeCell ref="Q1:Q3"/>
    <mergeCell ref="A1:B3"/>
    <mergeCell ref="C1:E1"/>
    <mergeCell ref="F1:L1"/>
    <mergeCell ref="P1:P2"/>
  </mergeCells>
  <printOptions horizontalCentered="1"/>
  <pageMargins left="0.11811023622047245" right="0.11811023622047245" top="1.1417322834645669" bottom="0.15748031496062992" header="0.51181102362204722" footer="0.11811023622047245"/>
  <pageSetup paperSize="9" scale="21" firstPageNumber="112" orientation="landscape" useFirstPageNumber="1" r:id="rId1"/>
  <headerFooter scaleWithDoc="0">
    <oddHeader>&amp;R
Приложение 1</oddHeader>
    <oddFooter>&amp;C&amp;P</oddFooter>
  </headerFooter>
  <rowBreaks count="1" manualBreakCount="1">
    <brk id="44" max="2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S53"/>
  <sheetViews>
    <sheetView zoomScale="60" zoomScaleNormal="60" zoomScaleSheetLayoutView="50" workbookViewId="0">
      <pane xSplit="2" ySplit="2" topLeftCell="Z30" activePane="bottomRight" state="frozen"/>
      <selection activeCell="V29" sqref="V29"/>
      <selection pane="topRight" activeCell="V29" sqref="V29"/>
      <selection pane="bottomLeft" activeCell="V29" sqref="V29"/>
      <selection pane="bottomRight" sqref="A1:XFD1048576"/>
    </sheetView>
  </sheetViews>
  <sheetFormatPr defaultRowHeight="21"/>
  <cols>
    <col min="1" max="1" width="20.7109375" style="34" customWidth="1"/>
    <col min="2" max="2" width="95.7109375" style="35" customWidth="1"/>
    <col min="3" max="6" width="18.7109375" style="30" customWidth="1"/>
    <col min="7" max="7" width="18.7109375" style="495" customWidth="1"/>
    <col min="8" max="10" width="18.7109375" style="30" customWidth="1"/>
    <col min="11" max="11" width="18.7109375" style="495" customWidth="1"/>
    <col min="12" max="16" width="18.7109375" style="30" customWidth="1"/>
    <col min="17" max="17" width="18.7109375" style="495" customWidth="1"/>
    <col min="18" max="20" width="18.7109375" style="30" customWidth="1"/>
    <col min="21" max="21" width="18.7109375" style="495" customWidth="1"/>
    <col min="22" max="24" width="18.7109375" style="30" customWidth="1"/>
    <col min="25" max="26" width="18.7109375" style="495" customWidth="1"/>
    <col min="27" max="30" width="18.7109375" style="30" customWidth="1"/>
    <col min="31" max="31" width="18.7109375" style="495" customWidth="1"/>
    <col min="32" max="34" width="18.7109375" style="30" customWidth="1"/>
    <col min="35" max="36" width="18.7109375" style="495" customWidth="1"/>
    <col min="37" max="37" width="36.7109375" style="496" customWidth="1"/>
    <col min="38" max="38" width="19.7109375" style="13" customWidth="1"/>
    <col min="39" max="39" width="21.7109375" style="13" customWidth="1"/>
    <col min="40" max="97" width="9.140625" style="13" customWidth="1"/>
  </cols>
  <sheetData>
    <row r="1" spans="1:97" s="471" customFormat="1">
      <c r="A1" s="468"/>
      <c r="B1" s="469"/>
      <c r="C1" s="557" t="s">
        <v>94</v>
      </c>
      <c r="D1" s="556" t="s">
        <v>95</v>
      </c>
      <c r="E1" s="556" t="s">
        <v>99</v>
      </c>
      <c r="F1" s="556" t="s">
        <v>102</v>
      </c>
      <c r="G1" s="557" t="s">
        <v>115</v>
      </c>
      <c r="H1" s="556" t="s">
        <v>1926</v>
      </c>
      <c r="I1" s="515" t="s">
        <v>1927</v>
      </c>
      <c r="J1" s="556" t="s">
        <v>118</v>
      </c>
      <c r="K1" s="557" t="s">
        <v>120</v>
      </c>
      <c r="L1" s="556" t="s">
        <v>121</v>
      </c>
      <c r="M1" s="556" t="s">
        <v>123</v>
      </c>
      <c r="N1" s="556" t="s">
        <v>124</v>
      </c>
      <c r="O1" s="556" t="s">
        <v>125</v>
      </c>
      <c r="P1" s="515" t="s">
        <v>1929</v>
      </c>
      <c r="Q1" s="557" t="s">
        <v>132</v>
      </c>
      <c r="R1" s="556" t="s">
        <v>133</v>
      </c>
      <c r="S1" s="515" t="s">
        <v>1931</v>
      </c>
      <c r="T1" s="556" t="s">
        <v>134</v>
      </c>
      <c r="U1" s="557" t="s">
        <v>135</v>
      </c>
      <c r="V1" s="556" t="s">
        <v>136</v>
      </c>
      <c r="W1" s="556" t="s">
        <v>137</v>
      </c>
      <c r="X1" s="556" t="s">
        <v>1880</v>
      </c>
      <c r="Y1" s="557" t="s">
        <v>139</v>
      </c>
      <c r="Z1" s="557" t="s">
        <v>140</v>
      </c>
      <c r="AA1" s="556" t="s">
        <v>141</v>
      </c>
      <c r="AB1" s="515" t="s">
        <v>1933</v>
      </c>
      <c r="AC1" s="556" t="s">
        <v>144</v>
      </c>
      <c r="AD1" s="515" t="s">
        <v>1935</v>
      </c>
      <c r="AE1" s="557" t="s">
        <v>146</v>
      </c>
      <c r="AF1" s="515" t="s">
        <v>1937</v>
      </c>
      <c r="AG1" s="556" t="s">
        <v>147</v>
      </c>
      <c r="AH1" s="556" t="s">
        <v>149</v>
      </c>
      <c r="AI1" s="557" t="s">
        <v>150</v>
      </c>
      <c r="AJ1" s="562" t="s">
        <v>1878</v>
      </c>
      <c r="AK1" s="1201" t="s">
        <v>46</v>
      </c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</row>
    <row r="2" spans="1:97" s="473" customFormat="1" ht="252">
      <c r="A2" s="468"/>
      <c r="B2" s="469"/>
      <c r="C2" s="570" t="s">
        <v>153</v>
      </c>
      <c r="D2" s="563" t="s">
        <v>154</v>
      </c>
      <c r="E2" s="563" t="s">
        <v>158</v>
      </c>
      <c r="F2" s="563" t="s">
        <v>161</v>
      </c>
      <c r="G2" s="557" t="s">
        <v>174</v>
      </c>
      <c r="H2" s="563" t="s">
        <v>175</v>
      </c>
      <c r="I2" s="564" t="s">
        <v>1928</v>
      </c>
      <c r="J2" s="563" t="s">
        <v>177</v>
      </c>
      <c r="K2" s="557" t="s">
        <v>179</v>
      </c>
      <c r="L2" s="563" t="s">
        <v>180</v>
      </c>
      <c r="M2" s="563" t="s">
        <v>182</v>
      </c>
      <c r="N2" s="563" t="s">
        <v>183</v>
      </c>
      <c r="O2" s="563" t="s">
        <v>184</v>
      </c>
      <c r="P2" s="564" t="s">
        <v>1930</v>
      </c>
      <c r="Q2" s="570" t="s">
        <v>191</v>
      </c>
      <c r="R2" s="563" t="s">
        <v>192</v>
      </c>
      <c r="S2" s="564" t="s">
        <v>1932</v>
      </c>
      <c r="T2" s="563" t="s">
        <v>193</v>
      </c>
      <c r="U2" s="570" t="s">
        <v>194</v>
      </c>
      <c r="V2" s="563" t="s">
        <v>195</v>
      </c>
      <c r="W2" s="563" t="s">
        <v>196</v>
      </c>
      <c r="X2" s="563" t="s">
        <v>1881</v>
      </c>
      <c r="Y2" s="570" t="s">
        <v>197</v>
      </c>
      <c r="Z2" s="570" t="s">
        <v>198</v>
      </c>
      <c r="AA2" s="563" t="s">
        <v>199</v>
      </c>
      <c r="AB2" s="564" t="s">
        <v>1934</v>
      </c>
      <c r="AC2" s="563" t="s">
        <v>201</v>
      </c>
      <c r="AD2" s="564" t="s">
        <v>1936</v>
      </c>
      <c r="AE2" s="570" t="s">
        <v>203</v>
      </c>
      <c r="AF2" s="564" t="s">
        <v>1938</v>
      </c>
      <c r="AG2" s="563" t="s">
        <v>204</v>
      </c>
      <c r="AH2" s="563" t="s">
        <v>206</v>
      </c>
      <c r="AI2" s="570" t="s">
        <v>13</v>
      </c>
      <c r="AJ2" s="571" t="s">
        <v>1879</v>
      </c>
      <c r="AK2" s="1201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72"/>
      <c r="BO2" s="472"/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2"/>
      <c r="CG2" s="472"/>
      <c r="CH2" s="472"/>
      <c r="CI2" s="472"/>
      <c r="CJ2" s="472"/>
      <c r="CK2" s="472"/>
      <c r="CL2" s="472"/>
      <c r="CM2" s="472"/>
      <c r="CN2" s="472"/>
      <c r="CO2" s="472"/>
      <c r="CP2" s="472"/>
      <c r="CQ2" s="472"/>
      <c r="CR2" s="472"/>
      <c r="CS2" s="472"/>
    </row>
    <row r="3" spans="1:97" s="473" customFormat="1">
      <c r="A3" s="581" t="s">
        <v>1893</v>
      </c>
      <c r="B3" s="578" t="s">
        <v>1891</v>
      </c>
      <c r="C3" s="504">
        <f t="shared" ref="C3:AK3" si="0">C4+C5</f>
        <v>460513414.59051746</v>
      </c>
      <c r="D3" s="505">
        <f t="shared" si="0"/>
        <v>296098172.45859998</v>
      </c>
      <c r="E3" s="505">
        <f t="shared" si="0"/>
        <v>17905770.29696054</v>
      </c>
      <c r="F3" s="505">
        <f t="shared" si="0"/>
        <v>146509471.83495697</v>
      </c>
      <c r="G3" s="504"/>
      <c r="H3" s="505"/>
      <c r="I3" s="505"/>
      <c r="J3" s="505"/>
      <c r="K3" s="504">
        <f t="shared" si="0"/>
        <v>479645282.32549012</v>
      </c>
      <c r="L3" s="505">
        <f t="shared" si="0"/>
        <v>274204609.85963756</v>
      </c>
      <c r="M3" s="505">
        <f t="shared" si="0"/>
        <v>140566267.81397218</v>
      </c>
      <c r="N3" s="505">
        <f t="shared" si="0"/>
        <v>61701558.851880357</v>
      </c>
      <c r="O3" s="505">
        <f t="shared" si="0"/>
        <v>3172845.8000000007</v>
      </c>
      <c r="P3" s="505"/>
      <c r="Q3" s="504">
        <f t="shared" si="0"/>
        <v>56689354.969805099</v>
      </c>
      <c r="R3" s="505"/>
      <c r="S3" s="505"/>
      <c r="T3" s="505">
        <f t="shared" si="0"/>
        <v>56689354.969805099</v>
      </c>
      <c r="U3" s="505"/>
      <c r="V3" s="505"/>
      <c r="W3" s="505"/>
      <c r="X3" s="505"/>
      <c r="Y3" s="505"/>
      <c r="Z3" s="504"/>
      <c r="AA3" s="505"/>
      <c r="AB3" s="505"/>
      <c r="AC3" s="505"/>
      <c r="AD3" s="505"/>
      <c r="AE3" s="505">
        <f t="shared" si="0"/>
        <v>4416309.2999999989</v>
      </c>
      <c r="AF3" s="505"/>
      <c r="AG3" s="505">
        <f t="shared" si="0"/>
        <v>4416309.2999999989</v>
      </c>
      <c r="AH3" s="505"/>
      <c r="AI3" s="504">
        <f t="shared" si="0"/>
        <v>1612487.7891899999</v>
      </c>
      <c r="AJ3" s="504"/>
      <c r="AK3" s="504">
        <f t="shared" si="0"/>
        <v>1002876848.9750026</v>
      </c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2"/>
      <c r="BL3" s="472"/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2"/>
      <c r="CR3" s="472"/>
      <c r="CS3" s="472"/>
    </row>
    <row r="4" spans="1:97" s="477" customFormat="1">
      <c r="A4" s="491" t="s">
        <v>48</v>
      </c>
      <c r="B4" s="491" t="s">
        <v>49</v>
      </c>
      <c r="C4" s="565">
        <f>D4+E4+F4</f>
        <v>456985678.86241746</v>
      </c>
      <c r="D4" s="565">
        <f>D7+D10+D13+D20</f>
        <v>292570436.73049998</v>
      </c>
      <c r="E4" s="565">
        <f>E7+E10+E13+E20</f>
        <v>17905770.29696054</v>
      </c>
      <c r="F4" s="565">
        <f>F7+F10+F13+F20</f>
        <v>146509471.83495697</v>
      </c>
      <c r="G4" s="565"/>
      <c r="H4" s="565"/>
      <c r="I4" s="565"/>
      <c r="J4" s="565"/>
      <c r="K4" s="565">
        <f>L4+M4+N4+O4+P4</f>
        <v>479645282.32549012</v>
      </c>
      <c r="L4" s="565">
        <f>L7+L10+L13+L20</f>
        <v>274204609.85963756</v>
      </c>
      <c r="M4" s="565">
        <f>M7+M10+M13+M20</f>
        <v>140566267.81397218</v>
      </c>
      <c r="N4" s="565">
        <f>N7+N10+N13+N20</f>
        <v>61701558.851880357</v>
      </c>
      <c r="O4" s="565">
        <f>O7+O10+O13+O20</f>
        <v>3172845.8000000007</v>
      </c>
      <c r="P4" s="565"/>
      <c r="Q4" s="565">
        <f>R4+T4+S4</f>
        <v>56689354.969805099</v>
      </c>
      <c r="R4" s="565"/>
      <c r="S4" s="565"/>
      <c r="T4" s="565">
        <f>T7+T10+T13+T20</f>
        <v>56689354.969805099</v>
      </c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>
        <f>AG4+AH4+AF4</f>
        <v>4416309.2999999989</v>
      </c>
      <c r="AF4" s="565"/>
      <c r="AG4" s="565">
        <f>AG7+AG10+AG13+AG20</f>
        <v>4416309.2999999989</v>
      </c>
      <c r="AH4" s="565"/>
      <c r="AI4" s="565">
        <f>AI7+AI10+AI13+AI20</f>
        <v>1612487.7891899999</v>
      </c>
      <c r="AJ4" s="565"/>
      <c r="AK4" s="565">
        <f>C4+G4+K4+Q4+U4+Y4+Z4+AE4+AI4+AJ4</f>
        <v>999349113.2469027</v>
      </c>
      <c r="AL4" s="474"/>
      <c r="AM4" s="475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</row>
    <row r="5" spans="1:97" s="477" customFormat="1">
      <c r="A5" s="491" t="s">
        <v>62</v>
      </c>
      <c r="B5" s="491" t="s">
        <v>63</v>
      </c>
      <c r="C5" s="565">
        <f>D5+E5+F5</f>
        <v>3527735.7280999999</v>
      </c>
      <c r="D5" s="565">
        <f>D8+D11+D18+D21</f>
        <v>3527735.7280999999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>
        <f>C5+G5+K5+Q5+U5+Y5+Z5+AE5+AI5+AJ5</f>
        <v>3527735.7280999999</v>
      </c>
      <c r="AL5" s="474"/>
      <c r="AM5" s="475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</row>
    <row r="6" spans="1:97" s="477" customFormat="1" ht="42">
      <c r="A6" s="580" t="s">
        <v>1892</v>
      </c>
      <c r="B6" s="578" t="s">
        <v>1894</v>
      </c>
      <c r="C6" s="504">
        <f t="shared" ref="C6:AK6" si="1">C7+C8</f>
        <v>446513681.69051749</v>
      </c>
      <c r="D6" s="505">
        <f t="shared" si="1"/>
        <v>285586550.65859997</v>
      </c>
      <c r="E6" s="505">
        <f t="shared" si="1"/>
        <v>17905770.29696054</v>
      </c>
      <c r="F6" s="505">
        <f t="shared" si="1"/>
        <v>143021360.73495698</v>
      </c>
      <c r="G6" s="504"/>
      <c r="H6" s="505"/>
      <c r="I6" s="505"/>
      <c r="J6" s="505"/>
      <c r="K6" s="504">
        <f t="shared" si="1"/>
        <v>5068872.8000000007</v>
      </c>
      <c r="L6" s="505">
        <f t="shared" si="1"/>
        <v>4690968.7000000011</v>
      </c>
      <c r="M6" s="505"/>
      <c r="N6" s="505"/>
      <c r="O6" s="505">
        <f t="shared" si="1"/>
        <v>377904.10000000009</v>
      </c>
      <c r="P6" s="505"/>
      <c r="Q6" s="504"/>
      <c r="R6" s="505"/>
      <c r="S6" s="505"/>
      <c r="T6" s="505"/>
      <c r="U6" s="505"/>
      <c r="V6" s="505"/>
      <c r="W6" s="505"/>
      <c r="X6" s="505"/>
      <c r="Y6" s="504"/>
      <c r="Z6" s="504"/>
      <c r="AA6" s="505"/>
      <c r="AB6" s="505"/>
      <c r="AC6" s="505"/>
      <c r="AD6" s="505"/>
      <c r="AE6" s="504">
        <f t="shared" si="1"/>
        <v>4321566.6999999993</v>
      </c>
      <c r="AF6" s="505"/>
      <c r="AG6" s="505">
        <f t="shared" si="1"/>
        <v>4321566.6999999993</v>
      </c>
      <c r="AH6" s="505"/>
      <c r="AI6" s="504">
        <f t="shared" si="1"/>
        <v>1612487.7891899999</v>
      </c>
      <c r="AJ6" s="504"/>
      <c r="AK6" s="504">
        <f t="shared" si="1"/>
        <v>457516608.97970748</v>
      </c>
      <c r="AL6" s="474"/>
      <c r="AM6" s="475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</row>
    <row r="7" spans="1:97" s="477" customFormat="1">
      <c r="A7" s="500" t="s">
        <v>50</v>
      </c>
      <c r="B7" s="482" t="s">
        <v>51</v>
      </c>
      <c r="C7" s="565">
        <f>D7+E7+F7</f>
        <v>442985945.96241748</v>
      </c>
      <c r="D7" s="566">
        <f>'ДФ 2015'!H14+'ДФ 2015'!H13+'ГБ 2015'!N87+'ГБ 2015'!N100+'ГБ 2015'!N131+'ГБ 2015'!N155+OДХold!M39-AJ47+'ГБ 2015'!N54+'ГБ 2015'!N56+'ГБ 2015'!N60+'ГБ 2015'!N114+'ГБ 2015'!N213+'КОМУ 2015'!I5+'009 2015'!L13+'ДФ 2015'!J30+OДХold!M38+'ОУ 2015'!D6+'ОУ 2015'!D7+'ОУ 2015'!D9+'ОУ 2015'!D10+'ОУ 2015'!D11+ФХД2!C18+'КОМУ 2015'!J5+'КОМУ 2015'!K5+'КОМУ 2015'!I6+'ДФ 2015'!H17+'КОМУ 2015'!J6</f>
        <v>282058814.93049997</v>
      </c>
      <c r="E7" s="566">
        <f>'КОМУ 2015'!M5+'009 2015'!L14+'ДФ 2015'!H10+'КОМУ 2015'!N5+'009 2015'!L15</f>
        <v>17905770.29696054</v>
      </c>
      <c r="F7" s="566">
        <f>'009 2015'!L19+'039 2015'!M9+'КОМУ 2015'!Q5+'КОМУ 2015'!R5+'009 2015'!L16+'009 2015'!L18+'ДФ 2015'!H9+'КОМУ 2015'!U5+'КОМУ 2015'!V5+'ГБ 2015'!N139+'ГБ 2015'!N162+'ДФ 2015'!H18+'КОМУ 2015'!X5+'КОМУ 2015'!Y5+'009 2015'!L17+'КОМУ 2015'!AA5+'КОМУ 2015'!Q6+'КОМУ 2015'!U6+'КОМУ 2015'!V6+'КОМУ 2015'!Y6+'КОМУ 2015'!AA6</f>
        <v>143021360.73495698</v>
      </c>
      <c r="G7" s="565"/>
      <c r="H7" s="566"/>
      <c r="I7" s="566"/>
      <c r="J7" s="566"/>
      <c r="K7" s="565">
        <f>L7+M7+N7+O7+P7</f>
        <v>5068872.8000000007</v>
      </c>
      <c r="L7" s="566">
        <f>'КОМУ 2015'!AF5+'КОМУ 2015'!AF6</f>
        <v>4690968.7000000011</v>
      </c>
      <c r="M7" s="566"/>
      <c r="N7" s="566"/>
      <c r="O7" s="566">
        <f>'КОМУ 2015'!AL5+'КОМУ 2015'!AM5+'КОМУ 2015'!AO5+'КОМУ 2015'!AL6+'КОМУ 2015'!AO6</f>
        <v>377904.10000000009</v>
      </c>
      <c r="P7" s="566"/>
      <c r="Q7" s="565"/>
      <c r="R7" s="566"/>
      <c r="S7" s="566"/>
      <c r="T7" s="566"/>
      <c r="U7" s="568"/>
      <c r="V7" s="566"/>
      <c r="W7" s="566"/>
      <c r="X7" s="566"/>
      <c r="Y7" s="565"/>
      <c r="Z7" s="565"/>
      <c r="AA7" s="566"/>
      <c r="AB7" s="566"/>
      <c r="AC7" s="566"/>
      <c r="AD7" s="566"/>
      <c r="AE7" s="565">
        <f>AG7+AH7+AF7</f>
        <v>4321566.6999999993</v>
      </c>
      <c r="AF7" s="566"/>
      <c r="AG7" s="566">
        <f>'КОМУ 2015'!BH5+'КОМУ 2015'!BH6</f>
        <v>4321566.6999999993</v>
      </c>
      <c r="AH7" s="566"/>
      <c r="AI7" s="565">
        <f>'ДФ 2015'!H12</f>
        <v>1612487.7891899999</v>
      </c>
      <c r="AJ7" s="565"/>
      <c r="AK7" s="565">
        <f>C7+G7+K7+Q7+U7+Y7+Z7+AE7+AI7+AJ7</f>
        <v>453988873.25160748</v>
      </c>
      <c r="AL7" s="474"/>
      <c r="AM7" s="475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</row>
    <row r="8" spans="1:97" s="477" customFormat="1">
      <c r="A8" s="500" t="s">
        <v>64</v>
      </c>
      <c r="B8" s="482" t="s">
        <v>65</v>
      </c>
      <c r="C8" s="565">
        <f>D8+E8+F8</f>
        <v>3527735.7280999999</v>
      </c>
      <c r="D8" s="566">
        <f>'ОУ 2015'!D8+'ГБ 2015'!N67</f>
        <v>3527735.7280999999</v>
      </c>
      <c r="E8" s="566"/>
      <c r="F8" s="566"/>
      <c r="G8" s="565"/>
      <c r="H8" s="566"/>
      <c r="I8" s="566"/>
      <c r="J8" s="566"/>
      <c r="K8" s="565"/>
      <c r="L8" s="566"/>
      <c r="M8" s="566"/>
      <c r="N8" s="566"/>
      <c r="O8" s="566"/>
      <c r="P8" s="566"/>
      <c r="Q8" s="565"/>
      <c r="R8" s="566"/>
      <c r="S8" s="566"/>
      <c r="T8" s="566"/>
      <c r="U8" s="568"/>
      <c r="V8" s="566"/>
      <c r="W8" s="566"/>
      <c r="X8" s="566"/>
      <c r="Y8" s="565"/>
      <c r="Z8" s="565"/>
      <c r="AA8" s="566"/>
      <c r="AB8" s="566"/>
      <c r="AC8" s="566"/>
      <c r="AD8" s="566"/>
      <c r="AE8" s="565"/>
      <c r="AF8" s="566"/>
      <c r="AG8" s="566"/>
      <c r="AH8" s="566"/>
      <c r="AI8" s="565"/>
      <c r="AJ8" s="565"/>
      <c r="AK8" s="565">
        <f>C8+G8+K8+Q8+U8+Y8+Z8+AE8+AI8+AJ8</f>
        <v>3527735.7280999999</v>
      </c>
      <c r="AL8" s="474"/>
      <c r="AM8" s="475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</row>
    <row r="9" spans="1:97" s="477" customFormat="1" ht="42">
      <c r="A9" s="580" t="s">
        <v>1895</v>
      </c>
      <c r="B9" s="578" t="s">
        <v>1896</v>
      </c>
      <c r="C9" s="504">
        <f t="shared" ref="C9:AK9" si="2">C10+C11</f>
        <v>13999732.900000006</v>
      </c>
      <c r="D9" s="505">
        <f t="shared" si="2"/>
        <v>10511621.800000004</v>
      </c>
      <c r="E9" s="505"/>
      <c r="F9" s="505">
        <f t="shared" si="2"/>
        <v>3488111.1000000006</v>
      </c>
      <c r="G9" s="504"/>
      <c r="H9" s="505"/>
      <c r="I9" s="505"/>
      <c r="J9" s="505"/>
      <c r="K9" s="504">
        <f>K10+K11</f>
        <v>11659263.800000003</v>
      </c>
      <c r="L9" s="505">
        <f t="shared" si="2"/>
        <v>8864322.1000000015</v>
      </c>
      <c r="M9" s="505"/>
      <c r="N9" s="505"/>
      <c r="O9" s="505">
        <f t="shared" si="2"/>
        <v>2794941.7000000007</v>
      </c>
      <c r="P9" s="505"/>
      <c r="Q9" s="504"/>
      <c r="R9" s="505"/>
      <c r="S9" s="505"/>
      <c r="T9" s="505"/>
      <c r="U9" s="505"/>
      <c r="V9" s="505"/>
      <c r="W9" s="505"/>
      <c r="X9" s="505"/>
      <c r="Y9" s="504"/>
      <c r="Z9" s="504"/>
      <c r="AA9" s="505"/>
      <c r="AB9" s="505"/>
      <c r="AC9" s="505"/>
      <c r="AD9" s="505"/>
      <c r="AE9" s="504">
        <f t="shared" si="2"/>
        <v>94742.6</v>
      </c>
      <c r="AF9" s="505"/>
      <c r="AG9" s="505">
        <f t="shared" si="2"/>
        <v>94742.6</v>
      </c>
      <c r="AH9" s="505"/>
      <c r="AI9" s="504"/>
      <c r="AJ9" s="504"/>
      <c r="AK9" s="504">
        <f t="shared" si="2"/>
        <v>25753739.300000012</v>
      </c>
      <c r="AL9" s="474"/>
      <c r="AM9" s="475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</row>
    <row r="10" spans="1:97" s="477" customFormat="1">
      <c r="A10" s="500" t="s">
        <v>52</v>
      </c>
      <c r="B10" s="482" t="s">
        <v>53</v>
      </c>
      <c r="C10" s="565">
        <f>D10+E10+F10</f>
        <v>13999732.900000006</v>
      </c>
      <c r="D10" s="566">
        <f>'КОМУ 2015'!I7+'КОМУ 2015'!J7+'КОМУ 2015'!K7</f>
        <v>10511621.800000004</v>
      </c>
      <c r="E10" s="566"/>
      <c r="F10" s="566">
        <f>'КОМУ 2015'!Q7+'КОМУ 2015'!U7+'КОМУ 2015'!V7+'КОМУ 2015'!X7+'КОМУ 2015'!Y7+'КОМУ 2015'!AA7</f>
        <v>3488111.1000000006</v>
      </c>
      <c r="G10" s="565"/>
      <c r="H10" s="566"/>
      <c r="I10" s="566"/>
      <c r="J10" s="566"/>
      <c r="K10" s="565">
        <f>L10+N10+M10+O10</f>
        <v>11659263.800000003</v>
      </c>
      <c r="L10" s="566">
        <f>'КОМУ 2015'!AF7</f>
        <v>8864322.1000000015</v>
      </c>
      <c r="M10" s="566"/>
      <c r="N10" s="566"/>
      <c r="O10" s="566">
        <f>'КОМУ 2015'!AL7+'КОМУ 2015'!AM7+'КОМУ 2015'!AQ7+'КОМУ 2015'!AO7</f>
        <v>2794941.7000000007</v>
      </c>
      <c r="P10" s="566"/>
      <c r="Q10" s="565"/>
      <c r="R10" s="566"/>
      <c r="S10" s="566"/>
      <c r="T10" s="566"/>
      <c r="U10" s="568"/>
      <c r="V10" s="566"/>
      <c r="W10" s="566"/>
      <c r="X10" s="566"/>
      <c r="Y10" s="565"/>
      <c r="Z10" s="565"/>
      <c r="AA10" s="566"/>
      <c r="AB10" s="566"/>
      <c r="AC10" s="566"/>
      <c r="AD10" s="566"/>
      <c r="AE10" s="565">
        <f>AG10+AH10+AF10</f>
        <v>94742.6</v>
      </c>
      <c r="AF10" s="566"/>
      <c r="AG10" s="566">
        <f>'КОМУ 2015'!BH7</f>
        <v>94742.6</v>
      </c>
      <c r="AH10" s="566"/>
      <c r="AI10" s="565"/>
      <c r="AJ10" s="565"/>
      <c r="AK10" s="565">
        <f>C10+G10+K10+Q10+U10+Y10+Z10+AE10+AI10+AJ10</f>
        <v>25753739.300000012</v>
      </c>
      <c r="AL10" s="474"/>
      <c r="AM10" s="475"/>
      <c r="AN10" s="476"/>
      <c r="AO10" s="476"/>
      <c r="AP10" s="476"/>
      <c r="AQ10" s="476"/>
      <c r="AR10" s="476"/>
      <c r="AS10" s="476"/>
      <c r="AT10" s="476"/>
      <c r="AU10" s="476"/>
      <c r="AV10" s="476"/>
      <c r="AW10" s="476"/>
      <c r="AX10" s="476"/>
      <c r="AY10" s="476"/>
      <c r="AZ10" s="476"/>
      <c r="BA10" s="476"/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6"/>
      <c r="BQ10" s="476"/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6"/>
      <c r="CE10" s="476"/>
      <c r="CF10" s="476"/>
      <c r="CG10" s="476"/>
      <c r="CH10" s="476"/>
      <c r="CI10" s="476"/>
      <c r="CJ10" s="476"/>
      <c r="CK10" s="476"/>
      <c r="CL10" s="476"/>
      <c r="CM10" s="476"/>
      <c r="CN10" s="476"/>
      <c r="CO10" s="476"/>
      <c r="CP10" s="476"/>
      <c r="CQ10" s="476"/>
      <c r="CR10" s="476"/>
      <c r="CS10" s="476"/>
    </row>
    <row r="11" spans="1:97" s="477" customFormat="1">
      <c r="A11" s="501" t="s">
        <v>1897</v>
      </c>
      <c r="B11" s="483" t="s">
        <v>1913</v>
      </c>
      <c r="C11" s="565"/>
      <c r="D11" s="566"/>
      <c r="E11" s="566"/>
      <c r="F11" s="566"/>
      <c r="G11" s="565"/>
      <c r="H11" s="566"/>
      <c r="I11" s="566"/>
      <c r="J11" s="566"/>
      <c r="K11" s="565"/>
      <c r="L11" s="566"/>
      <c r="M11" s="566"/>
      <c r="N11" s="566"/>
      <c r="O11" s="566"/>
      <c r="P11" s="566"/>
      <c r="Q11" s="565"/>
      <c r="R11" s="566"/>
      <c r="S11" s="566"/>
      <c r="T11" s="566"/>
      <c r="U11" s="568"/>
      <c r="V11" s="566"/>
      <c r="W11" s="566"/>
      <c r="X11" s="566"/>
      <c r="Y11" s="565"/>
      <c r="Z11" s="565"/>
      <c r="AA11" s="566"/>
      <c r="AB11" s="566"/>
      <c r="AC11" s="566"/>
      <c r="AD11" s="566"/>
      <c r="AE11" s="565"/>
      <c r="AF11" s="566"/>
      <c r="AG11" s="566"/>
      <c r="AH11" s="566"/>
      <c r="AI11" s="565"/>
      <c r="AJ11" s="565"/>
      <c r="AK11" s="565"/>
      <c r="AL11" s="474"/>
      <c r="AM11" s="475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</row>
    <row r="12" spans="1:97" s="477" customFormat="1" ht="42">
      <c r="A12" s="580" t="s">
        <v>1898</v>
      </c>
      <c r="B12" s="578" t="s">
        <v>1899</v>
      </c>
      <c r="C12" s="504"/>
      <c r="D12" s="504"/>
      <c r="E12" s="504"/>
      <c r="F12" s="504"/>
      <c r="G12" s="504"/>
      <c r="H12" s="504"/>
      <c r="I12" s="504"/>
      <c r="J12" s="504"/>
      <c r="K12" s="504">
        <f t="shared" ref="K12:AK12" si="3">K13+K18</f>
        <v>462917145.72549009</v>
      </c>
      <c r="L12" s="504">
        <f t="shared" si="3"/>
        <v>260649319.05963755</v>
      </c>
      <c r="M12" s="504">
        <f t="shared" si="3"/>
        <v>140566267.81397218</v>
      </c>
      <c r="N12" s="504">
        <f t="shared" si="3"/>
        <v>61701558.851880357</v>
      </c>
      <c r="O12" s="504"/>
      <c r="P12" s="504"/>
      <c r="Q12" s="504">
        <f t="shared" si="3"/>
        <v>56689354.969805099</v>
      </c>
      <c r="R12" s="504"/>
      <c r="S12" s="504"/>
      <c r="T12" s="504">
        <f t="shared" si="3"/>
        <v>56689354.969805099</v>
      </c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>
        <f t="shared" si="3"/>
        <v>519606500.69529521</v>
      </c>
      <c r="AL12" s="474"/>
      <c r="AM12" s="475"/>
      <c r="AN12" s="476"/>
      <c r="AO12" s="476"/>
      <c r="AP12" s="476"/>
      <c r="AQ12" s="476"/>
      <c r="AR12" s="476"/>
      <c r="AS12" s="476"/>
      <c r="AT12" s="476"/>
      <c r="AU12" s="476"/>
      <c r="AV12" s="476"/>
      <c r="AW12" s="476"/>
      <c r="AX12" s="476"/>
      <c r="AY12" s="476"/>
      <c r="AZ12" s="476"/>
      <c r="BA12" s="476"/>
      <c r="BB12" s="476"/>
      <c r="BC12" s="476"/>
      <c r="BD12" s="476"/>
      <c r="BE12" s="476"/>
      <c r="BF12" s="476"/>
      <c r="BG12" s="476"/>
      <c r="BH12" s="476"/>
      <c r="BI12" s="476"/>
      <c r="BJ12" s="476"/>
      <c r="BK12" s="476"/>
      <c r="BL12" s="476"/>
      <c r="BM12" s="476"/>
      <c r="BN12" s="476"/>
      <c r="BO12" s="476"/>
      <c r="BP12" s="476"/>
      <c r="BQ12" s="476"/>
      <c r="BR12" s="476"/>
      <c r="BS12" s="476"/>
      <c r="BT12" s="476"/>
      <c r="BU12" s="476"/>
      <c r="BV12" s="476"/>
      <c r="BW12" s="476"/>
      <c r="BX12" s="476"/>
      <c r="BY12" s="476"/>
      <c r="BZ12" s="476"/>
      <c r="CA12" s="476"/>
      <c r="CB12" s="476"/>
      <c r="CC12" s="476"/>
      <c r="CD12" s="476"/>
      <c r="CE12" s="476"/>
      <c r="CF12" s="476"/>
      <c r="CG12" s="476"/>
      <c r="CH12" s="476"/>
      <c r="CI12" s="476"/>
      <c r="CJ12" s="476"/>
      <c r="CK12" s="476"/>
      <c r="CL12" s="476"/>
      <c r="CM12" s="476"/>
      <c r="CN12" s="476"/>
      <c r="CO12" s="476"/>
      <c r="CP12" s="476"/>
      <c r="CQ12" s="476"/>
      <c r="CR12" s="476"/>
      <c r="CS12" s="476"/>
    </row>
    <row r="13" spans="1:97" s="477" customFormat="1">
      <c r="A13" s="500" t="s">
        <v>54</v>
      </c>
      <c r="B13" s="482" t="s">
        <v>55</v>
      </c>
      <c r="C13" s="565"/>
      <c r="D13" s="566"/>
      <c r="E13" s="566"/>
      <c r="F13" s="566"/>
      <c r="G13" s="565"/>
      <c r="H13" s="566"/>
      <c r="I13" s="566"/>
      <c r="J13" s="566"/>
      <c r="K13" s="565">
        <f t="shared" ref="K13:K17" si="4">L13+M13+N13+O13+P13</f>
        <v>462917145.72549009</v>
      </c>
      <c r="L13" s="566">
        <f>L14+L15+L16+L17</f>
        <v>260649319.05963755</v>
      </c>
      <c r="M13" s="566">
        <f>M14+M15+M16+M17</f>
        <v>140566267.81397218</v>
      </c>
      <c r="N13" s="566">
        <f>N14+N15+N16+N17</f>
        <v>61701558.851880357</v>
      </c>
      <c r="O13" s="566"/>
      <c r="P13" s="566"/>
      <c r="Q13" s="565">
        <f t="shared" ref="Q13:Q17" si="5">R13+T13+S13</f>
        <v>56689354.969805099</v>
      </c>
      <c r="R13" s="566"/>
      <c r="S13" s="566"/>
      <c r="T13" s="566">
        <f>T14+T15+T16+T17</f>
        <v>56689354.969805099</v>
      </c>
      <c r="U13" s="568"/>
      <c r="V13" s="566"/>
      <c r="W13" s="566"/>
      <c r="X13" s="566"/>
      <c r="Y13" s="565"/>
      <c r="Z13" s="565"/>
      <c r="AA13" s="566"/>
      <c r="AB13" s="566"/>
      <c r="AC13" s="566"/>
      <c r="AD13" s="566"/>
      <c r="AE13" s="565"/>
      <c r="AF13" s="566"/>
      <c r="AG13" s="566"/>
      <c r="AH13" s="566"/>
      <c r="AI13" s="565"/>
      <c r="AJ13" s="565"/>
      <c r="AK13" s="565">
        <f t="shared" ref="AK13:AK17" si="6">C13+G13+K13+Q13+U13+Y13+Z13+AE13+AI13+AJ13</f>
        <v>519606500.69529521</v>
      </c>
      <c r="AL13" s="474"/>
      <c r="AM13" s="475"/>
      <c r="AN13" s="476"/>
      <c r="AO13" s="476"/>
      <c r="AP13" s="476"/>
      <c r="AQ13" s="476"/>
      <c r="AR13" s="476"/>
      <c r="AS13" s="476"/>
      <c r="AT13" s="476"/>
      <c r="AU13" s="476"/>
      <c r="AV13" s="476"/>
      <c r="AW13" s="476"/>
      <c r="AX13" s="476"/>
      <c r="AY13" s="476"/>
      <c r="AZ13" s="476"/>
      <c r="BA13" s="476"/>
      <c r="BB13" s="476"/>
      <c r="BC13" s="476"/>
      <c r="BD13" s="476"/>
      <c r="BE13" s="476"/>
      <c r="BF13" s="476"/>
      <c r="BG13" s="476"/>
      <c r="BH13" s="476"/>
      <c r="BI13" s="476"/>
      <c r="BJ13" s="476"/>
      <c r="BK13" s="476"/>
      <c r="BL13" s="476"/>
      <c r="BM13" s="476"/>
      <c r="BN13" s="476"/>
      <c r="BO13" s="476"/>
      <c r="BP13" s="476"/>
      <c r="BQ13" s="476"/>
      <c r="BR13" s="476"/>
      <c r="BS13" s="476"/>
      <c r="BT13" s="476"/>
      <c r="BU13" s="476"/>
      <c r="BV13" s="476"/>
      <c r="BW13" s="476"/>
      <c r="BX13" s="476"/>
      <c r="BY13" s="476"/>
      <c r="BZ13" s="476"/>
      <c r="CA13" s="476"/>
      <c r="CB13" s="476"/>
      <c r="CC13" s="476"/>
      <c r="CD13" s="476"/>
      <c r="CE13" s="476"/>
      <c r="CF13" s="476"/>
      <c r="CG13" s="476"/>
      <c r="CH13" s="476"/>
      <c r="CI13" s="476"/>
      <c r="CJ13" s="476"/>
      <c r="CK13" s="476"/>
      <c r="CL13" s="476"/>
      <c r="CM13" s="476"/>
      <c r="CN13" s="476"/>
      <c r="CO13" s="476"/>
      <c r="CP13" s="476"/>
      <c r="CQ13" s="476"/>
      <c r="CR13" s="476"/>
      <c r="CS13" s="476"/>
    </row>
    <row r="14" spans="1:97" s="477" customFormat="1">
      <c r="A14" s="497" t="s">
        <v>56</v>
      </c>
      <c r="B14" s="481" t="s">
        <v>57</v>
      </c>
      <c r="C14" s="565"/>
      <c r="D14" s="567"/>
      <c r="E14" s="567"/>
      <c r="F14" s="567"/>
      <c r="G14" s="565"/>
      <c r="H14" s="567"/>
      <c r="I14" s="567"/>
      <c r="J14" s="567"/>
      <c r="K14" s="565">
        <f t="shared" si="4"/>
        <v>260649319.05963755</v>
      </c>
      <c r="L14" s="567">
        <f>OДХold!M35+'039 2015'!M6+'ОУ 2015'!D12</f>
        <v>260649319.05963755</v>
      </c>
      <c r="M14" s="567"/>
      <c r="N14" s="567"/>
      <c r="O14" s="567"/>
      <c r="P14" s="567"/>
      <c r="Q14" s="565"/>
      <c r="R14" s="567"/>
      <c r="S14" s="567"/>
      <c r="T14" s="567"/>
      <c r="U14" s="568"/>
      <c r="V14" s="567"/>
      <c r="W14" s="567"/>
      <c r="X14" s="567"/>
      <c r="Y14" s="565"/>
      <c r="Z14" s="565"/>
      <c r="AA14" s="567"/>
      <c r="AB14" s="567"/>
      <c r="AC14" s="567"/>
      <c r="AD14" s="567"/>
      <c r="AE14" s="565"/>
      <c r="AF14" s="567"/>
      <c r="AG14" s="567"/>
      <c r="AH14" s="567"/>
      <c r="AI14" s="565"/>
      <c r="AJ14" s="565"/>
      <c r="AK14" s="565">
        <f t="shared" si="6"/>
        <v>260649319.05963755</v>
      </c>
      <c r="AL14" s="474"/>
      <c r="AM14" s="475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</row>
    <row r="15" spans="1:97" s="477" customFormat="1">
      <c r="A15" s="497" t="s">
        <v>58</v>
      </c>
      <c r="B15" s="481" t="s">
        <v>59</v>
      </c>
      <c r="C15" s="565"/>
      <c r="D15" s="567"/>
      <c r="E15" s="567"/>
      <c r="F15" s="567"/>
      <c r="G15" s="565"/>
      <c r="H15" s="567"/>
      <c r="I15" s="567"/>
      <c r="J15" s="567"/>
      <c r="K15" s="565">
        <f t="shared" si="4"/>
        <v>140566267.81397218</v>
      </c>
      <c r="L15" s="567"/>
      <c r="M15" s="567">
        <f>'ОУ 2015'!D14+OДХold!M36</f>
        <v>140566267.81397218</v>
      </c>
      <c r="N15" s="567"/>
      <c r="O15" s="567"/>
      <c r="P15" s="567"/>
      <c r="Q15" s="565"/>
      <c r="R15" s="567"/>
      <c r="S15" s="567"/>
      <c r="T15" s="567"/>
      <c r="U15" s="568"/>
      <c r="V15" s="567"/>
      <c r="W15" s="567"/>
      <c r="X15" s="567"/>
      <c r="Y15" s="565"/>
      <c r="Z15" s="565"/>
      <c r="AA15" s="567"/>
      <c r="AB15" s="567"/>
      <c r="AC15" s="567"/>
      <c r="AD15" s="567"/>
      <c r="AE15" s="565"/>
      <c r="AF15" s="567"/>
      <c r="AG15" s="567"/>
      <c r="AH15" s="567"/>
      <c r="AI15" s="565"/>
      <c r="AJ15" s="565"/>
      <c r="AK15" s="565">
        <f t="shared" si="6"/>
        <v>140566267.81397218</v>
      </c>
      <c r="AL15" s="474"/>
      <c r="AM15" s="475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</row>
    <row r="16" spans="1:97" s="477" customFormat="1">
      <c r="A16" s="497" t="s">
        <v>60</v>
      </c>
      <c r="B16" s="481" t="s">
        <v>61</v>
      </c>
      <c r="C16" s="565"/>
      <c r="D16" s="567"/>
      <c r="E16" s="567"/>
      <c r="F16" s="567"/>
      <c r="G16" s="565"/>
      <c r="H16" s="567"/>
      <c r="I16" s="567"/>
      <c r="J16" s="567"/>
      <c r="K16" s="565">
        <f t="shared" si="4"/>
        <v>32855139.990580354</v>
      </c>
      <c r="L16" s="567"/>
      <c r="M16" s="567"/>
      <c r="N16" s="567">
        <f>'039 2015'!M7+'ОУ 2015'!D13</f>
        <v>32855139.990580354</v>
      </c>
      <c r="O16" s="567"/>
      <c r="P16" s="567"/>
      <c r="Q16" s="565"/>
      <c r="R16" s="567"/>
      <c r="S16" s="567"/>
      <c r="T16" s="567"/>
      <c r="U16" s="568"/>
      <c r="V16" s="567"/>
      <c r="W16" s="567"/>
      <c r="X16" s="567"/>
      <c r="Y16" s="565"/>
      <c r="Z16" s="565"/>
      <c r="AA16" s="567"/>
      <c r="AB16" s="567"/>
      <c r="AC16" s="567"/>
      <c r="AD16" s="567"/>
      <c r="AE16" s="565"/>
      <c r="AF16" s="567"/>
      <c r="AG16" s="567"/>
      <c r="AH16" s="567"/>
      <c r="AI16" s="565"/>
      <c r="AJ16" s="565"/>
      <c r="AK16" s="565">
        <f t="shared" si="6"/>
        <v>32855139.990580354</v>
      </c>
      <c r="AL16" s="474"/>
      <c r="AM16" s="475"/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</row>
    <row r="17" spans="1:97" s="477" customFormat="1" ht="42">
      <c r="A17" s="498" t="s">
        <v>1872</v>
      </c>
      <c r="B17" s="484" t="s">
        <v>1873</v>
      </c>
      <c r="C17" s="565"/>
      <c r="D17" s="567"/>
      <c r="E17" s="567"/>
      <c r="F17" s="567"/>
      <c r="G17" s="565"/>
      <c r="H17" s="567"/>
      <c r="I17" s="567"/>
      <c r="J17" s="567"/>
      <c r="K17" s="565">
        <f t="shared" si="4"/>
        <v>28846418.861299999</v>
      </c>
      <c r="L17" s="567"/>
      <c r="M17" s="567"/>
      <c r="N17" s="567">
        <f>'HF-HC'!D48+'HF-HC'!F48+'HF-HC'!M48+'HF-HC'!I18</f>
        <v>28846418.861299999</v>
      </c>
      <c r="O17" s="567"/>
      <c r="P17" s="567"/>
      <c r="Q17" s="565">
        <f t="shared" si="5"/>
        <v>56689354.969805099</v>
      </c>
      <c r="R17" s="567"/>
      <c r="S17" s="567"/>
      <c r="T17" s="567">
        <f>OДХold!M37</f>
        <v>56689354.969805099</v>
      </c>
      <c r="U17" s="568"/>
      <c r="V17" s="567"/>
      <c r="W17" s="567"/>
      <c r="X17" s="567"/>
      <c r="Y17" s="565"/>
      <c r="Z17" s="565"/>
      <c r="AA17" s="567"/>
      <c r="AB17" s="567"/>
      <c r="AC17" s="567"/>
      <c r="AD17" s="567"/>
      <c r="AE17" s="565"/>
      <c r="AF17" s="567"/>
      <c r="AG17" s="567"/>
      <c r="AH17" s="567"/>
      <c r="AI17" s="565"/>
      <c r="AJ17" s="565"/>
      <c r="AK17" s="565">
        <f t="shared" si="6"/>
        <v>85535773.831105098</v>
      </c>
      <c r="AL17" s="474"/>
      <c r="AM17" s="475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</row>
    <row r="18" spans="1:97" s="477" customFormat="1">
      <c r="A18" s="502" t="s">
        <v>1900</v>
      </c>
      <c r="B18" s="483" t="s">
        <v>1939</v>
      </c>
      <c r="C18" s="565"/>
      <c r="D18" s="566"/>
      <c r="E18" s="566"/>
      <c r="F18" s="566"/>
      <c r="G18" s="565"/>
      <c r="H18" s="566"/>
      <c r="I18" s="566"/>
      <c r="J18" s="566"/>
      <c r="K18" s="565"/>
      <c r="L18" s="566"/>
      <c r="M18" s="566"/>
      <c r="N18" s="566"/>
      <c r="O18" s="566"/>
      <c r="P18" s="566"/>
      <c r="Q18" s="565"/>
      <c r="R18" s="566"/>
      <c r="S18" s="566"/>
      <c r="T18" s="566"/>
      <c r="U18" s="568"/>
      <c r="V18" s="566"/>
      <c r="W18" s="566"/>
      <c r="X18" s="566"/>
      <c r="Y18" s="565"/>
      <c r="Z18" s="565"/>
      <c r="AA18" s="566"/>
      <c r="AB18" s="566"/>
      <c r="AC18" s="566"/>
      <c r="AD18" s="566"/>
      <c r="AE18" s="565"/>
      <c r="AF18" s="566"/>
      <c r="AG18" s="566"/>
      <c r="AH18" s="566"/>
      <c r="AI18" s="565"/>
      <c r="AJ18" s="565"/>
      <c r="AK18" s="565"/>
      <c r="AL18" s="474"/>
      <c r="AM18" s="475"/>
      <c r="AN18" s="476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476"/>
      <c r="BH18" s="476"/>
      <c r="BI18" s="476"/>
      <c r="BJ18" s="476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</row>
    <row r="19" spans="1:97" s="477" customFormat="1" ht="42">
      <c r="A19" s="579" t="s">
        <v>1904</v>
      </c>
      <c r="B19" s="578" t="s">
        <v>1905</v>
      </c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474"/>
      <c r="AM19" s="475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</row>
    <row r="20" spans="1:97" s="477" customFormat="1">
      <c r="A20" s="502" t="s">
        <v>1902</v>
      </c>
      <c r="B20" s="483" t="s">
        <v>1903</v>
      </c>
      <c r="C20" s="565"/>
      <c r="D20" s="566"/>
      <c r="E20" s="566"/>
      <c r="F20" s="566"/>
      <c r="G20" s="565"/>
      <c r="H20" s="566"/>
      <c r="I20" s="566"/>
      <c r="J20" s="566"/>
      <c r="K20" s="565"/>
      <c r="L20" s="566"/>
      <c r="M20" s="566"/>
      <c r="N20" s="566"/>
      <c r="O20" s="566"/>
      <c r="P20" s="566"/>
      <c r="Q20" s="565"/>
      <c r="R20" s="566"/>
      <c r="S20" s="566"/>
      <c r="T20" s="566"/>
      <c r="U20" s="568"/>
      <c r="V20" s="566"/>
      <c r="W20" s="566"/>
      <c r="X20" s="566"/>
      <c r="Y20" s="565"/>
      <c r="Z20" s="565"/>
      <c r="AA20" s="566"/>
      <c r="AB20" s="566"/>
      <c r="AC20" s="566"/>
      <c r="AD20" s="566"/>
      <c r="AE20" s="565"/>
      <c r="AF20" s="566"/>
      <c r="AG20" s="566"/>
      <c r="AH20" s="566"/>
      <c r="AI20" s="565"/>
      <c r="AJ20" s="565"/>
      <c r="AK20" s="565"/>
      <c r="AL20" s="474"/>
      <c r="AM20" s="475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</row>
    <row r="21" spans="1:97" s="477" customFormat="1">
      <c r="A21" s="502" t="s">
        <v>1901</v>
      </c>
      <c r="B21" s="483" t="s">
        <v>1914</v>
      </c>
      <c r="C21" s="565"/>
      <c r="D21" s="566"/>
      <c r="E21" s="566"/>
      <c r="F21" s="566"/>
      <c r="G21" s="565"/>
      <c r="H21" s="566"/>
      <c r="I21" s="566"/>
      <c r="J21" s="566"/>
      <c r="K21" s="565"/>
      <c r="L21" s="566"/>
      <c r="M21" s="566"/>
      <c r="N21" s="566"/>
      <c r="O21" s="566"/>
      <c r="P21" s="566"/>
      <c r="Q21" s="565"/>
      <c r="R21" s="566"/>
      <c r="S21" s="566"/>
      <c r="T21" s="566"/>
      <c r="U21" s="568"/>
      <c r="V21" s="566"/>
      <c r="W21" s="566"/>
      <c r="X21" s="566"/>
      <c r="Y21" s="565"/>
      <c r="Z21" s="565"/>
      <c r="AA21" s="566"/>
      <c r="AB21" s="566"/>
      <c r="AC21" s="566"/>
      <c r="AD21" s="566"/>
      <c r="AE21" s="565"/>
      <c r="AF21" s="566"/>
      <c r="AG21" s="566"/>
      <c r="AH21" s="566"/>
      <c r="AI21" s="565"/>
      <c r="AJ21" s="565"/>
      <c r="AK21" s="565"/>
      <c r="AL21" s="474"/>
      <c r="AM21" s="475"/>
      <c r="AN21" s="476"/>
      <c r="AO21" s="476"/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</row>
    <row r="22" spans="1:97" s="477" customFormat="1">
      <c r="A22" s="491" t="s">
        <v>66</v>
      </c>
      <c r="B22" s="491" t="s">
        <v>67</v>
      </c>
      <c r="C22" s="565"/>
      <c r="D22" s="565"/>
      <c r="E22" s="565"/>
      <c r="F22" s="565"/>
      <c r="G22" s="565">
        <f>H22</f>
        <v>269179.99199999997</v>
      </c>
      <c r="H22" s="565">
        <f>'ГБ 2015'!V76+H23+H24+H25+H26</f>
        <v>269179.99199999997</v>
      </c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  <c r="AC22" s="565"/>
      <c r="AD22" s="565"/>
      <c r="AE22" s="565"/>
      <c r="AF22" s="565"/>
      <c r="AG22" s="565"/>
      <c r="AH22" s="565"/>
      <c r="AI22" s="565"/>
      <c r="AJ22" s="565"/>
      <c r="AK22" s="565">
        <f t="shared" ref="AK22:AK39" si="7">C22+G22+K22+Q22+U22+Y22+Z22+AE22+AI22+AJ22</f>
        <v>269179.99199999997</v>
      </c>
      <c r="AL22" s="474"/>
      <c r="AM22" s="475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</row>
    <row r="23" spans="1:97" s="477" customFormat="1">
      <c r="A23" s="501" t="s">
        <v>1906</v>
      </c>
      <c r="B23" s="483" t="s">
        <v>1915</v>
      </c>
      <c r="C23" s="565"/>
      <c r="D23" s="566"/>
      <c r="E23" s="566"/>
      <c r="F23" s="566"/>
      <c r="G23" s="565"/>
      <c r="H23" s="566"/>
      <c r="I23" s="566"/>
      <c r="J23" s="566"/>
      <c r="K23" s="565"/>
      <c r="L23" s="566"/>
      <c r="M23" s="566"/>
      <c r="N23" s="566"/>
      <c r="O23" s="566"/>
      <c r="P23" s="566"/>
      <c r="Q23" s="565"/>
      <c r="R23" s="566"/>
      <c r="S23" s="566"/>
      <c r="T23" s="566"/>
      <c r="U23" s="568"/>
      <c r="V23" s="566"/>
      <c r="W23" s="566"/>
      <c r="X23" s="566"/>
      <c r="Y23" s="565"/>
      <c r="Z23" s="565"/>
      <c r="AA23" s="566"/>
      <c r="AB23" s="566"/>
      <c r="AC23" s="566"/>
      <c r="AD23" s="566"/>
      <c r="AE23" s="565"/>
      <c r="AF23" s="566"/>
      <c r="AG23" s="566"/>
      <c r="AH23" s="566"/>
      <c r="AI23" s="565"/>
      <c r="AJ23" s="565"/>
      <c r="AK23" s="565"/>
      <c r="AL23" s="474"/>
      <c r="AM23" s="475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</row>
    <row r="24" spans="1:97" s="477" customFormat="1">
      <c r="A24" s="501" t="s">
        <v>1907</v>
      </c>
      <c r="B24" s="483" t="s">
        <v>1916</v>
      </c>
      <c r="C24" s="565"/>
      <c r="D24" s="566"/>
      <c r="E24" s="566"/>
      <c r="F24" s="566"/>
      <c r="G24" s="565"/>
      <c r="H24" s="566"/>
      <c r="I24" s="566"/>
      <c r="J24" s="566"/>
      <c r="K24" s="565"/>
      <c r="L24" s="566"/>
      <c r="M24" s="566"/>
      <c r="N24" s="566"/>
      <c r="O24" s="566"/>
      <c r="P24" s="566"/>
      <c r="Q24" s="565"/>
      <c r="R24" s="566"/>
      <c r="S24" s="566"/>
      <c r="T24" s="566"/>
      <c r="U24" s="568"/>
      <c r="V24" s="566"/>
      <c r="W24" s="566"/>
      <c r="X24" s="566"/>
      <c r="Y24" s="565"/>
      <c r="Z24" s="565"/>
      <c r="AA24" s="566"/>
      <c r="AB24" s="566"/>
      <c r="AC24" s="566"/>
      <c r="AD24" s="566"/>
      <c r="AE24" s="565"/>
      <c r="AF24" s="566"/>
      <c r="AG24" s="566"/>
      <c r="AH24" s="566"/>
      <c r="AI24" s="565"/>
      <c r="AJ24" s="565"/>
      <c r="AK24" s="565"/>
      <c r="AL24" s="474"/>
      <c r="AM24" s="475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</row>
    <row r="25" spans="1:97" s="477" customFormat="1">
      <c r="A25" s="501" t="s">
        <v>1908</v>
      </c>
      <c r="B25" s="483" t="s">
        <v>1917</v>
      </c>
      <c r="C25" s="565"/>
      <c r="D25" s="566"/>
      <c r="E25" s="566"/>
      <c r="F25" s="566"/>
      <c r="G25" s="565"/>
      <c r="H25" s="566"/>
      <c r="I25" s="566"/>
      <c r="J25" s="566"/>
      <c r="K25" s="565"/>
      <c r="L25" s="566"/>
      <c r="M25" s="566"/>
      <c r="N25" s="566"/>
      <c r="O25" s="566"/>
      <c r="P25" s="566"/>
      <c r="Q25" s="565"/>
      <c r="R25" s="566"/>
      <c r="S25" s="566"/>
      <c r="T25" s="566"/>
      <c r="U25" s="568"/>
      <c r="V25" s="566"/>
      <c r="W25" s="566"/>
      <c r="X25" s="566"/>
      <c r="Y25" s="565"/>
      <c r="Z25" s="565"/>
      <c r="AA25" s="566"/>
      <c r="AB25" s="566"/>
      <c r="AC25" s="566"/>
      <c r="AD25" s="566"/>
      <c r="AE25" s="565"/>
      <c r="AF25" s="566"/>
      <c r="AG25" s="566"/>
      <c r="AH25" s="566"/>
      <c r="AI25" s="565"/>
      <c r="AJ25" s="565"/>
      <c r="AK25" s="565"/>
      <c r="AL25" s="474"/>
      <c r="AM25" s="475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6"/>
      <c r="CR25" s="476"/>
      <c r="CS25" s="476"/>
    </row>
    <row r="26" spans="1:97" s="477" customFormat="1">
      <c r="A26" s="501" t="s">
        <v>1909</v>
      </c>
      <c r="B26" s="483" t="s">
        <v>1918</v>
      </c>
      <c r="C26" s="565"/>
      <c r="D26" s="566"/>
      <c r="E26" s="566"/>
      <c r="F26" s="566"/>
      <c r="G26" s="565"/>
      <c r="H26" s="566"/>
      <c r="I26" s="566"/>
      <c r="J26" s="566"/>
      <c r="K26" s="565"/>
      <c r="L26" s="566"/>
      <c r="M26" s="566"/>
      <c r="N26" s="566"/>
      <c r="O26" s="566"/>
      <c r="P26" s="566"/>
      <c r="Q26" s="565"/>
      <c r="R26" s="566"/>
      <c r="S26" s="566"/>
      <c r="T26" s="566"/>
      <c r="U26" s="568"/>
      <c r="V26" s="566"/>
      <c r="W26" s="566"/>
      <c r="X26" s="566"/>
      <c r="Y26" s="565"/>
      <c r="Z26" s="565"/>
      <c r="AA26" s="566"/>
      <c r="AB26" s="566"/>
      <c r="AC26" s="566"/>
      <c r="AD26" s="566"/>
      <c r="AE26" s="565"/>
      <c r="AF26" s="566"/>
      <c r="AG26" s="566"/>
      <c r="AH26" s="566"/>
      <c r="AI26" s="565"/>
      <c r="AJ26" s="565"/>
      <c r="AK26" s="565"/>
      <c r="AL26" s="474"/>
      <c r="AM26" s="475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6"/>
      <c r="CS26" s="476"/>
    </row>
    <row r="27" spans="1:97" s="477" customFormat="1">
      <c r="A27" s="491" t="s">
        <v>68</v>
      </c>
      <c r="B27" s="491" t="s">
        <v>69</v>
      </c>
      <c r="C27" s="565">
        <f t="shared" ref="C27:C36" si="8">D27+E27+F27</f>
        <v>1346338.9</v>
      </c>
      <c r="D27" s="565">
        <f>D29+D30+D28</f>
        <v>206836.9</v>
      </c>
      <c r="E27" s="565"/>
      <c r="F27" s="565">
        <f>F29+F30+F28</f>
        <v>1139502</v>
      </c>
      <c r="G27" s="565"/>
      <c r="H27" s="565"/>
      <c r="I27" s="565"/>
      <c r="J27" s="565"/>
      <c r="K27" s="565">
        <f t="shared" ref="K27:K36" si="9">L27+M27+N27+O27+P27</f>
        <v>1589</v>
      </c>
      <c r="L27" s="565">
        <f>L29+L30+L28</f>
        <v>1589</v>
      </c>
      <c r="M27" s="565"/>
      <c r="N27" s="565"/>
      <c r="O27" s="565"/>
      <c r="P27" s="565"/>
      <c r="Q27" s="565">
        <f t="shared" ref="Q27:Q30" si="10">R27+T27+S27</f>
        <v>35673276.222737812</v>
      </c>
      <c r="R27" s="565">
        <f>R29+R30+R28</f>
        <v>35673276.222737812</v>
      </c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>
        <f t="shared" si="7"/>
        <v>37021204.12273781</v>
      </c>
      <c r="AL27" s="474"/>
      <c r="AM27" s="475"/>
      <c r="AN27" s="476"/>
      <c r="AO27" s="476"/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</row>
    <row r="28" spans="1:97" s="477" customFormat="1">
      <c r="A28" s="501" t="s">
        <v>1910</v>
      </c>
      <c r="B28" s="483" t="s">
        <v>1911</v>
      </c>
      <c r="C28" s="565"/>
      <c r="D28" s="566"/>
      <c r="E28" s="566"/>
      <c r="F28" s="566"/>
      <c r="G28" s="565"/>
      <c r="H28" s="566"/>
      <c r="I28" s="566"/>
      <c r="J28" s="566"/>
      <c r="K28" s="565"/>
      <c r="L28" s="566"/>
      <c r="M28" s="566"/>
      <c r="N28" s="566"/>
      <c r="O28" s="566"/>
      <c r="P28" s="566"/>
      <c r="Q28" s="565"/>
      <c r="R28" s="566"/>
      <c r="S28" s="566"/>
      <c r="T28" s="566"/>
      <c r="U28" s="568"/>
      <c r="V28" s="566"/>
      <c r="W28" s="566"/>
      <c r="X28" s="566"/>
      <c r="Y28" s="565"/>
      <c r="Z28" s="565"/>
      <c r="AA28" s="566"/>
      <c r="AB28" s="566"/>
      <c r="AC28" s="566"/>
      <c r="AD28" s="566"/>
      <c r="AE28" s="565"/>
      <c r="AF28" s="566"/>
      <c r="AG28" s="566"/>
      <c r="AH28" s="566"/>
      <c r="AI28" s="565"/>
      <c r="AJ28" s="565"/>
      <c r="AK28" s="565"/>
      <c r="AL28" s="474"/>
      <c r="AM28" s="475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</row>
    <row r="29" spans="1:97" s="479" customFormat="1">
      <c r="A29" s="500" t="s">
        <v>70</v>
      </c>
      <c r="B29" s="482" t="s">
        <v>71</v>
      </c>
      <c r="C29" s="565">
        <f t="shared" si="8"/>
        <v>1346338.9</v>
      </c>
      <c r="D29" s="566">
        <f>'КОМУ 2015'!I8+'КОМУ 2015'!J8</f>
        <v>206836.9</v>
      </c>
      <c r="E29" s="566"/>
      <c r="F29" s="566">
        <f>'КОМУ 2015'!Y8+'КОМУ 2015'!AA8</f>
        <v>1139502</v>
      </c>
      <c r="G29" s="565"/>
      <c r="H29" s="566"/>
      <c r="I29" s="566"/>
      <c r="J29" s="566"/>
      <c r="K29" s="565">
        <f t="shared" si="9"/>
        <v>1589</v>
      </c>
      <c r="L29" s="566">
        <f>'КОМУ 2015'!AF8</f>
        <v>1589</v>
      </c>
      <c r="M29" s="566"/>
      <c r="N29" s="566"/>
      <c r="O29" s="566"/>
      <c r="P29" s="566"/>
      <c r="Q29" s="565"/>
      <c r="R29" s="566"/>
      <c r="S29" s="566"/>
      <c r="T29" s="566"/>
      <c r="U29" s="568"/>
      <c r="V29" s="566"/>
      <c r="W29" s="566"/>
      <c r="X29" s="566"/>
      <c r="Y29" s="565"/>
      <c r="Z29" s="565"/>
      <c r="AA29" s="566"/>
      <c r="AB29" s="566"/>
      <c r="AC29" s="566"/>
      <c r="AD29" s="566"/>
      <c r="AE29" s="565"/>
      <c r="AF29" s="566"/>
      <c r="AG29" s="566"/>
      <c r="AH29" s="566"/>
      <c r="AI29" s="565"/>
      <c r="AJ29" s="565"/>
      <c r="AK29" s="565">
        <f t="shared" si="7"/>
        <v>1347927.9</v>
      </c>
      <c r="AL29" s="474"/>
      <c r="AM29" s="475"/>
      <c r="AN29" s="478"/>
      <c r="AO29" s="478"/>
      <c r="AP29" s="478"/>
      <c r="AQ29" s="478"/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478"/>
      <c r="CM29" s="478"/>
      <c r="CN29" s="478"/>
      <c r="CO29" s="478"/>
      <c r="CP29" s="478"/>
      <c r="CQ29" s="478"/>
      <c r="CR29" s="478"/>
      <c r="CS29" s="478"/>
    </row>
    <row r="30" spans="1:97" s="479" customFormat="1">
      <c r="A30" s="500" t="s">
        <v>72</v>
      </c>
      <c r="B30" s="482" t="s">
        <v>73</v>
      </c>
      <c r="C30" s="565"/>
      <c r="D30" s="566"/>
      <c r="E30" s="566"/>
      <c r="F30" s="566"/>
      <c r="G30" s="565"/>
      <c r="H30" s="566"/>
      <c r="I30" s="566"/>
      <c r="J30" s="566"/>
      <c r="K30" s="565"/>
      <c r="L30" s="566"/>
      <c r="M30" s="566"/>
      <c r="N30" s="566"/>
      <c r="O30" s="566"/>
      <c r="P30" s="566"/>
      <c r="Q30" s="565">
        <f t="shared" si="10"/>
        <v>35673276.222737812</v>
      </c>
      <c r="R30" s="566">
        <f>'ДФ 2015'!H16+'ГБ 2015'!N237+'ГБ 2015'!N282+'ГБ 2015'!N195+'ГБ 2015'!N202+'ГБ 2015'!N210+'039 2015'!M8</f>
        <v>35673276.222737812</v>
      </c>
      <c r="S30" s="566"/>
      <c r="T30" s="566"/>
      <c r="U30" s="568"/>
      <c r="V30" s="566"/>
      <c r="W30" s="566"/>
      <c r="X30" s="566"/>
      <c r="Y30" s="565"/>
      <c r="Z30" s="565"/>
      <c r="AA30" s="566"/>
      <c r="AB30" s="566"/>
      <c r="AC30" s="566"/>
      <c r="AD30" s="566"/>
      <c r="AE30" s="565"/>
      <c r="AF30" s="566"/>
      <c r="AG30" s="566"/>
      <c r="AH30" s="566"/>
      <c r="AI30" s="565"/>
      <c r="AJ30" s="565"/>
      <c r="AK30" s="565">
        <f t="shared" si="7"/>
        <v>35673276.222737812</v>
      </c>
      <c r="AL30" s="474"/>
      <c r="AM30" s="475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8"/>
      <c r="CB30" s="478"/>
      <c r="CC30" s="478"/>
      <c r="CD30" s="478"/>
      <c r="CE30" s="478"/>
      <c r="CF30" s="478"/>
      <c r="CG30" s="478"/>
      <c r="CH30" s="478"/>
      <c r="CI30" s="478"/>
      <c r="CJ30" s="478"/>
      <c r="CK30" s="478"/>
      <c r="CL30" s="478"/>
      <c r="CM30" s="478"/>
      <c r="CN30" s="478"/>
      <c r="CO30" s="478"/>
      <c r="CP30" s="478"/>
      <c r="CQ30" s="478"/>
      <c r="CR30" s="478"/>
      <c r="CS30" s="478"/>
    </row>
    <row r="31" spans="1:97" s="477" customFormat="1">
      <c r="A31" s="491" t="s">
        <v>74</v>
      </c>
      <c r="B31" s="491" t="s">
        <v>75</v>
      </c>
      <c r="C31" s="565">
        <f t="shared" si="8"/>
        <v>1602284.7999999998</v>
      </c>
      <c r="D31" s="565">
        <f>D32+D36</f>
        <v>1281621</v>
      </c>
      <c r="E31" s="565"/>
      <c r="F31" s="565">
        <f t="shared" ref="F31" si="11">F32+F36</f>
        <v>320663.79999999993</v>
      </c>
      <c r="G31" s="565"/>
      <c r="H31" s="565"/>
      <c r="I31" s="565"/>
      <c r="J31" s="565"/>
      <c r="K31" s="565">
        <f t="shared" si="9"/>
        <v>79925.7</v>
      </c>
      <c r="L31" s="565">
        <f>L32+L36</f>
        <v>69962.399999999994</v>
      </c>
      <c r="M31" s="565"/>
      <c r="N31" s="565"/>
      <c r="O31" s="565">
        <f>O32+O36</f>
        <v>9963.2999999999993</v>
      </c>
      <c r="P31" s="565"/>
      <c r="Q31" s="565"/>
      <c r="R31" s="565"/>
      <c r="S31" s="565"/>
      <c r="T31" s="565"/>
      <c r="U31" s="565">
        <f t="shared" ref="U31:U36" si="12">V31+W31+X31</f>
        <v>271348933.74289376</v>
      </c>
      <c r="V31" s="565">
        <f>V32+V36</f>
        <v>255986850.69641754</v>
      </c>
      <c r="W31" s="565">
        <f>W32+W36</f>
        <v>13074113.231043609</v>
      </c>
      <c r="X31" s="565">
        <f>X32+X36</f>
        <v>2287969.8154326314</v>
      </c>
      <c r="Y31" s="565"/>
      <c r="Z31" s="565"/>
      <c r="AA31" s="565"/>
      <c r="AB31" s="565"/>
      <c r="AC31" s="565"/>
      <c r="AD31" s="565"/>
      <c r="AE31" s="565">
        <f t="shared" ref="AE31:AE36" si="13">AG31+AH31+AF31</f>
        <v>10771.1</v>
      </c>
      <c r="AF31" s="565"/>
      <c r="AG31" s="565">
        <f>AG32+AG36</f>
        <v>10771.1</v>
      </c>
      <c r="AH31" s="565"/>
      <c r="AI31" s="565"/>
      <c r="AJ31" s="565"/>
      <c r="AK31" s="565">
        <f t="shared" si="7"/>
        <v>273041915.34289378</v>
      </c>
      <c r="AL31" s="474"/>
      <c r="AM31" s="475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6"/>
      <c r="BO31" s="476"/>
      <c r="BP31" s="476"/>
      <c r="BQ31" s="476"/>
      <c r="BR31" s="476"/>
      <c r="BS31" s="476"/>
      <c r="BT31" s="476"/>
      <c r="BU31" s="476"/>
      <c r="BV31" s="476"/>
      <c r="BW31" s="476"/>
      <c r="BX31" s="476"/>
      <c r="BY31" s="476"/>
      <c r="BZ31" s="476"/>
      <c r="CA31" s="476"/>
      <c r="CB31" s="476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6"/>
      <c r="CN31" s="476"/>
      <c r="CO31" s="476"/>
      <c r="CP31" s="476"/>
      <c r="CQ31" s="476"/>
      <c r="CR31" s="476"/>
      <c r="CS31" s="476"/>
    </row>
    <row r="32" spans="1:97" s="480" customFormat="1" ht="42">
      <c r="A32" s="500" t="s">
        <v>76</v>
      </c>
      <c r="B32" s="482" t="s">
        <v>77</v>
      </c>
      <c r="C32" s="565"/>
      <c r="D32" s="566"/>
      <c r="E32" s="566"/>
      <c r="F32" s="566"/>
      <c r="G32" s="565"/>
      <c r="H32" s="566"/>
      <c r="I32" s="566"/>
      <c r="J32" s="566"/>
      <c r="K32" s="565"/>
      <c r="L32" s="566"/>
      <c r="M32" s="566"/>
      <c r="N32" s="566"/>
      <c r="O32" s="566"/>
      <c r="P32" s="566"/>
      <c r="Q32" s="565"/>
      <c r="R32" s="566"/>
      <c r="S32" s="566"/>
      <c r="T32" s="566"/>
      <c r="U32" s="568">
        <f t="shared" si="12"/>
        <v>255986850.69641754</v>
      </c>
      <c r="V32" s="566">
        <f>OДХold!M32+'ГБ 2015'!N146+'ГБ 2015'!N148+'ГБ 2015'!N150+'ГБ 2015'!N152+'ГБ 2015'!N160+'ГБ 2015'!N120+'ГБ 2015'!N122+'ГБ 2015'!N125+'ГБ 2015'!N128+'ГБ 2015'!N137+'ГБ 2015'!N167+'ГБ 2015'!N178+'ГБ 2015'!N182+'ГБ 2015'!N190</f>
        <v>255986850.69641754</v>
      </c>
      <c r="W32" s="566"/>
      <c r="X32" s="566"/>
      <c r="Y32" s="565"/>
      <c r="Z32" s="565"/>
      <c r="AA32" s="566"/>
      <c r="AB32" s="566"/>
      <c r="AC32" s="566"/>
      <c r="AD32" s="566"/>
      <c r="AE32" s="565"/>
      <c r="AF32" s="566"/>
      <c r="AG32" s="566"/>
      <c r="AH32" s="566"/>
      <c r="AI32" s="565"/>
      <c r="AJ32" s="565"/>
      <c r="AK32" s="565">
        <f t="shared" si="7"/>
        <v>255986850.69641754</v>
      </c>
      <c r="AL32" s="474"/>
      <c r="AM32" s="475"/>
      <c r="AN32" s="476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6"/>
      <c r="BO32" s="476"/>
      <c r="BP32" s="476"/>
      <c r="BQ32" s="476"/>
      <c r="BR32" s="476"/>
      <c r="BS32" s="476"/>
      <c r="BT32" s="476"/>
      <c r="BU32" s="476"/>
      <c r="BV32" s="476"/>
      <c r="BW32" s="476"/>
      <c r="BX32" s="476"/>
      <c r="BY32" s="476"/>
      <c r="BZ32" s="476"/>
      <c r="CA32" s="476"/>
      <c r="CB32" s="476"/>
      <c r="CC32" s="476"/>
      <c r="CD32" s="476"/>
      <c r="CE32" s="476"/>
      <c r="CF32" s="476"/>
      <c r="CG32" s="476"/>
      <c r="CH32" s="476"/>
      <c r="CI32" s="476"/>
      <c r="CJ32" s="476"/>
      <c r="CK32" s="476"/>
      <c r="CL32" s="476"/>
      <c r="CM32" s="476"/>
      <c r="CN32" s="476"/>
      <c r="CO32" s="476"/>
      <c r="CP32" s="476"/>
      <c r="CQ32" s="476"/>
      <c r="CR32" s="476"/>
      <c r="CS32" s="476"/>
    </row>
    <row r="33" spans="1:97" s="476" customFormat="1">
      <c r="A33" s="499" t="s">
        <v>1912</v>
      </c>
      <c r="B33" s="484" t="s">
        <v>1919</v>
      </c>
      <c r="C33" s="565"/>
      <c r="D33" s="567"/>
      <c r="E33" s="567"/>
      <c r="F33" s="567"/>
      <c r="G33" s="565"/>
      <c r="H33" s="567"/>
      <c r="I33" s="567"/>
      <c r="J33" s="567"/>
      <c r="K33" s="565"/>
      <c r="L33" s="567"/>
      <c r="M33" s="567"/>
      <c r="N33" s="567"/>
      <c r="O33" s="567"/>
      <c r="P33" s="567"/>
      <c r="Q33" s="565"/>
      <c r="R33" s="567"/>
      <c r="S33" s="567"/>
      <c r="T33" s="567"/>
      <c r="U33" s="568"/>
      <c r="V33" s="567"/>
      <c r="W33" s="567"/>
      <c r="X33" s="567"/>
      <c r="Y33" s="565"/>
      <c r="Z33" s="565"/>
      <c r="AA33" s="567"/>
      <c r="AB33" s="567"/>
      <c r="AC33" s="567"/>
      <c r="AD33" s="567"/>
      <c r="AE33" s="565"/>
      <c r="AF33" s="567"/>
      <c r="AG33" s="567"/>
      <c r="AH33" s="567"/>
      <c r="AI33" s="565"/>
      <c r="AJ33" s="565"/>
      <c r="AK33" s="565"/>
      <c r="AL33" s="474"/>
      <c r="AM33" s="475"/>
    </row>
    <row r="34" spans="1:97" s="476" customFormat="1">
      <c r="A34" s="499" t="s">
        <v>1920</v>
      </c>
      <c r="B34" s="484" t="s">
        <v>1921</v>
      </c>
      <c r="C34" s="565"/>
      <c r="D34" s="567"/>
      <c r="E34" s="567"/>
      <c r="F34" s="567"/>
      <c r="G34" s="565"/>
      <c r="H34" s="567"/>
      <c r="I34" s="567"/>
      <c r="J34" s="567"/>
      <c r="K34" s="565"/>
      <c r="L34" s="567"/>
      <c r="M34" s="567"/>
      <c r="N34" s="567"/>
      <c r="O34" s="567"/>
      <c r="P34" s="567"/>
      <c r="Q34" s="565"/>
      <c r="R34" s="567"/>
      <c r="S34" s="567"/>
      <c r="T34" s="567"/>
      <c r="U34" s="568"/>
      <c r="V34" s="567"/>
      <c r="W34" s="567"/>
      <c r="X34" s="567"/>
      <c r="Y34" s="565"/>
      <c r="Z34" s="565"/>
      <c r="AA34" s="567"/>
      <c r="AB34" s="567"/>
      <c r="AC34" s="567"/>
      <c r="AD34" s="567"/>
      <c r="AE34" s="565"/>
      <c r="AF34" s="567"/>
      <c r="AG34" s="567"/>
      <c r="AH34" s="567"/>
      <c r="AI34" s="565"/>
      <c r="AJ34" s="565"/>
      <c r="AK34" s="565"/>
      <c r="AL34" s="474"/>
      <c r="AM34" s="475"/>
    </row>
    <row r="35" spans="1:97" s="476" customFormat="1">
      <c r="A35" s="499" t="s">
        <v>1922</v>
      </c>
      <c r="B35" s="484" t="s">
        <v>1923</v>
      </c>
      <c r="C35" s="565"/>
      <c r="D35" s="567"/>
      <c r="E35" s="567"/>
      <c r="F35" s="567"/>
      <c r="G35" s="565"/>
      <c r="H35" s="567"/>
      <c r="I35" s="567"/>
      <c r="J35" s="567"/>
      <c r="K35" s="565"/>
      <c r="L35" s="567"/>
      <c r="M35" s="567"/>
      <c r="N35" s="567"/>
      <c r="O35" s="567"/>
      <c r="P35" s="567"/>
      <c r="Q35" s="565"/>
      <c r="R35" s="567"/>
      <c r="S35" s="567"/>
      <c r="T35" s="567"/>
      <c r="U35" s="568"/>
      <c r="V35" s="567"/>
      <c r="W35" s="567"/>
      <c r="X35" s="567"/>
      <c r="Y35" s="565"/>
      <c r="Z35" s="565"/>
      <c r="AA35" s="567"/>
      <c r="AB35" s="567"/>
      <c r="AC35" s="567"/>
      <c r="AD35" s="567"/>
      <c r="AE35" s="565"/>
      <c r="AF35" s="567"/>
      <c r="AG35" s="567"/>
      <c r="AH35" s="567"/>
      <c r="AI35" s="565"/>
      <c r="AJ35" s="565"/>
      <c r="AK35" s="565"/>
      <c r="AL35" s="474"/>
      <c r="AM35" s="475"/>
    </row>
    <row r="36" spans="1:97" s="477" customFormat="1" ht="42">
      <c r="A36" s="500" t="s">
        <v>78</v>
      </c>
      <c r="B36" s="482" t="s">
        <v>79</v>
      </c>
      <c r="C36" s="565">
        <f t="shared" si="8"/>
        <v>1602284.7999999998</v>
      </c>
      <c r="D36" s="566">
        <f>'КОМУ 2015'!I9+'КОМУ 2015'!J9</f>
        <v>1281621</v>
      </c>
      <c r="E36" s="566"/>
      <c r="F36" s="566">
        <f>'КОМУ 2015'!Q9+'КОМУ 2015'!Y9+'КОМУ 2015'!U9+'КОМУ 2015'!AA9</f>
        <v>320663.79999999993</v>
      </c>
      <c r="G36" s="565"/>
      <c r="H36" s="566"/>
      <c r="I36" s="566"/>
      <c r="J36" s="566"/>
      <c r="K36" s="565">
        <f t="shared" si="9"/>
        <v>79925.7</v>
      </c>
      <c r="L36" s="566">
        <f>'КОМУ 2015'!AF9</f>
        <v>69962.399999999994</v>
      </c>
      <c r="M36" s="566"/>
      <c r="N36" s="566"/>
      <c r="O36" s="566">
        <f>'КОМУ 2015'!AL9</f>
        <v>9963.2999999999993</v>
      </c>
      <c r="P36" s="566"/>
      <c r="Q36" s="565"/>
      <c r="R36" s="566"/>
      <c r="S36" s="566"/>
      <c r="T36" s="566"/>
      <c r="U36" s="568">
        <f t="shared" si="12"/>
        <v>15362083.046476241</v>
      </c>
      <c r="V36" s="566"/>
      <c r="W36" s="566">
        <f>OДХold!M34</f>
        <v>13074113.231043609</v>
      </c>
      <c r="X36" s="566">
        <f>OДХold!M33</f>
        <v>2287969.8154326314</v>
      </c>
      <c r="Y36" s="565"/>
      <c r="Z36" s="565"/>
      <c r="AA36" s="566"/>
      <c r="AB36" s="566"/>
      <c r="AC36" s="566"/>
      <c r="AD36" s="566"/>
      <c r="AE36" s="565">
        <f t="shared" si="13"/>
        <v>10771.1</v>
      </c>
      <c r="AF36" s="566"/>
      <c r="AG36" s="566">
        <f>'КОМУ 2015'!BH9</f>
        <v>10771.1</v>
      </c>
      <c r="AH36" s="566"/>
      <c r="AI36" s="565"/>
      <c r="AJ36" s="565"/>
      <c r="AK36" s="565">
        <f t="shared" si="7"/>
        <v>17055064.646476243</v>
      </c>
      <c r="AL36" s="474"/>
      <c r="AM36" s="475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6"/>
      <c r="BO36" s="476"/>
      <c r="BP36" s="476"/>
      <c r="BQ36" s="476"/>
      <c r="BR36" s="476"/>
      <c r="BS36" s="476"/>
      <c r="BT36" s="476"/>
      <c r="BU36" s="476"/>
      <c r="BV36" s="476"/>
      <c r="BW36" s="476"/>
      <c r="BX36" s="476"/>
      <c r="BY36" s="476"/>
      <c r="BZ36" s="476"/>
      <c r="CA36" s="476"/>
      <c r="CB36" s="476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6"/>
      <c r="CN36" s="476"/>
      <c r="CO36" s="476"/>
      <c r="CP36" s="476"/>
      <c r="CQ36" s="476"/>
      <c r="CR36" s="476"/>
      <c r="CS36" s="476"/>
    </row>
    <row r="37" spans="1:97" s="477" customFormat="1">
      <c r="A37" s="491" t="s">
        <v>80</v>
      </c>
      <c r="B37" s="491" t="s">
        <v>81</v>
      </c>
      <c r="C37" s="565"/>
      <c r="D37" s="565"/>
      <c r="E37" s="565"/>
      <c r="F37" s="565"/>
      <c r="G37" s="565">
        <f>H37+J37+I37</f>
        <v>3232710.3705000002</v>
      </c>
      <c r="H37" s="565">
        <f>H38+H39+H42+H41+H43</f>
        <v>0</v>
      </c>
      <c r="I37" s="565">
        <f>I38+I39+I42+I41+I43</f>
        <v>0</v>
      </c>
      <c r="J37" s="565">
        <f>J38+J39+J42+J41+J43</f>
        <v>3232710.3705000002</v>
      </c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>
        <f>Y38+Y39+Y42+Y41+Y43+Y40</f>
        <v>42331656.909159996</v>
      </c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>
        <f t="shared" si="7"/>
        <v>45564367.279659994</v>
      </c>
      <c r="AL37" s="474"/>
      <c r="AM37" s="475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</row>
    <row r="38" spans="1:97" s="477" customFormat="1">
      <c r="A38" s="500" t="s">
        <v>82</v>
      </c>
      <c r="B38" s="482" t="s">
        <v>83</v>
      </c>
      <c r="C38" s="565"/>
      <c r="D38" s="566"/>
      <c r="E38" s="566"/>
      <c r="F38" s="566"/>
      <c r="G38" s="565"/>
      <c r="H38" s="566"/>
      <c r="I38" s="566"/>
      <c r="J38" s="566"/>
      <c r="K38" s="565"/>
      <c r="L38" s="566"/>
      <c r="M38" s="566"/>
      <c r="N38" s="566"/>
      <c r="O38" s="566"/>
      <c r="P38" s="566"/>
      <c r="Q38" s="565"/>
      <c r="R38" s="566"/>
      <c r="S38" s="566"/>
      <c r="T38" s="566"/>
      <c r="U38" s="568"/>
      <c r="V38" s="566"/>
      <c r="W38" s="566"/>
      <c r="X38" s="566"/>
      <c r="Y38" s="565">
        <f>'ГБ 2015'!N93+'ГБ 2015'!N96+'ГБ 2015'!N109+'ГБ 2015'!N106+'ГБ 2015'!N231+'ГБ 2015'!N276+'ДФ 2015'!H15</f>
        <v>6917860.3056999985</v>
      </c>
      <c r="Z38" s="565"/>
      <c r="AA38" s="566"/>
      <c r="AB38" s="566"/>
      <c r="AC38" s="566"/>
      <c r="AD38" s="566"/>
      <c r="AE38" s="565"/>
      <c r="AF38" s="566"/>
      <c r="AG38" s="566"/>
      <c r="AH38" s="566"/>
      <c r="AI38" s="565"/>
      <c r="AJ38" s="565"/>
      <c r="AK38" s="565">
        <f t="shared" si="7"/>
        <v>6917860.3056999985</v>
      </c>
      <c r="AL38" s="474"/>
      <c r="AM38" s="475"/>
      <c r="AN38" s="476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6"/>
      <c r="BO38" s="476"/>
      <c r="BP38" s="476"/>
      <c r="BQ38" s="476"/>
      <c r="BR38" s="476"/>
      <c r="BS38" s="476"/>
      <c r="BT38" s="476"/>
      <c r="BU38" s="476"/>
      <c r="BV38" s="476"/>
      <c r="BW38" s="476"/>
      <c r="BX38" s="476"/>
      <c r="BY38" s="476"/>
      <c r="BZ38" s="476"/>
      <c r="CA38" s="476"/>
      <c r="CB38" s="476"/>
      <c r="CC38" s="476"/>
      <c r="CD38" s="476"/>
      <c r="CE38" s="476"/>
      <c r="CF38" s="476"/>
      <c r="CG38" s="476"/>
      <c r="CH38" s="476"/>
      <c r="CI38" s="476"/>
      <c r="CJ38" s="476"/>
      <c r="CK38" s="476"/>
      <c r="CL38" s="476"/>
      <c r="CM38" s="476"/>
      <c r="CN38" s="476"/>
      <c r="CO38" s="476"/>
      <c r="CP38" s="476"/>
      <c r="CQ38" s="476"/>
      <c r="CR38" s="476"/>
      <c r="CS38" s="476"/>
    </row>
    <row r="39" spans="1:97" s="477" customFormat="1">
      <c r="A39" s="500" t="s">
        <v>84</v>
      </c>
      <c r="B39" s="482" t="s">
        <v>85</v>
      </c>
      <c r="C39" s="565"/>
      <c r="D39" s="566"/>
      <c r="E39" s="566"/>
      <c r="F39" s="566"/>
      <c r="G39" s="565"/>
      <c r="H39" s="566"/>
      <c r="I39" s="566"/>
      <c r="J39" s="566"/>
      <c r="K39" s="565"/>
      <c r="L39" s="566"/>
      <c r="M39" s="566"/>
      <c r="N39" s="566"/>
      <c r="O39" s="566"/>
      <c r="P39" s="566"/>
      <c r="Q39" s="565"/>
      <c r="R39" s="566"/>
      <c r="S39" s="566"/>
      <c r="T39" s="566"/>
      <c r="U39" s="568"/>
      <c r="V39" s="566"/>
      <c r="W39" s="566"/>
      <c r="X39" s="566"/>
      <c r="Y39" s="565">
        <f>'ГБ 2015'!N134+'ГБ 2015'!N157</f>
        <v>19572678.6745</v>
      </c>
      <c r="Z39" s="565"/>
      <c r="AA39" s="566"/>
      <c r="AB39" s="566"/>
      <c r="AC39" s="566"/>
      <c r="AD39" s="566"/>
      <c r="AE39" s="565"/>
      <c r="AF39" s="566"/>
      <c r="AG39" s="566"/>
      <c r="AH39" s="566"/>
      <c r="AI39" s="565"/>
      <c r="AJ39" s="565"/>
      <c r="AK39" s="565">
        <f t="shared" si="7"/>
        <v>19572678.6745</v>
      </c>
      <c r="AL39" s="474"/>
      <c r="AM39" s="475"/>
      <c r="AN39" s="476"/>
      <c r="AO39" s="47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476"/>
      <c r="CL39" s="476"/>
      <c r="CM39" s="476"/>
      <c r="CN39" s="476"/>
      <c r="CO39" s="476"/>
      <c r="CP39" s="476"/>
      <c r="CQ39" s="476"/>
      <c r="CR39" s="476"/>
      <c r="CS39" s="476"/>
    </row>
    <row r="40" spans="1:97" s="477" customFormat="1">
      <c r="A40" s="503" t="s">
        <v>1274</v>
      </c>
      <c r="B40" s="492" t="s">
        <v>1275</v>
      </c>
      <c r="C40" s="565"/>
      <c r="D40" s="566"/>
      <c r="E40" s="566"/>
      <c r="F40" s="566"/>
      <c r="G40" s="565"/>
      <c r="H40" s="566"/>
      <c r="I40" s="566"/>
      <c r="J40" s="566"/>
      <c r="K40" s="565"/>
      <c r="L40" s="566"/>
      <c r="M40" s="566"/>
      <c r="N40" s="566"/>
      <c r="O40" s="566"/>
      <c r="P40" s="566"/>
      <c r="Q40" s="565"/>
      <c r="R40" s="566"/>
      <c r="S40" s="566"/>
      <c r="T40" s="566"/>
      <c r="U40" s="568"/>
      <c r="V40" s="566"/>
      <c r="W40" s="566"/>
      <c r="X40" s="566"/>
      <c r="Y40" s="565">
        <f>'ГБ 2015'!N172+'ГБ 2015'!N185</f>
        <v>3956897.7944</v>
      </c>
      <c r="Z40" s="565"/>
      <c r="AA40" s="566"/>
      <c r="AB40" s="566"/>
      <c r="AC40" s="566"/>
      <c r="AD40" s="566"/>
      <c r="AE40" s="565"/>
      <c r="AF40" s="566"/>
      <c r="AG40" s="566"/>
      <c r="AH40" s="566"/>
      <c r="AI40" s="565"/>
      <c r="AJ40" s="565"/>
      <c r="AK40" s="565"/>
      <c r="AL40" s="474"/>
      <c r="AM40" s="475"/>
      <c r="AN40" s="476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6"/>
      <c r="BO40" s="476"/>
      <c r="BP40" s="476"/>
      <c r="BQ40" s="476"/>
      <c r="BR40" s="476"/>
      <c r="BS40" s="476"/>
      <c r="BT40" s="476"/>
      <c r="BU40" s="476"/>
      <c r="BV40" s="476"/>
      <c r="BW40" s="476"/>
      <c r="BX40" s="476"/>
      <c r="BY40" s="476"/>
      <c r="BZ40" s="476"/>
      <c r="CA40" s="476"/>
      <c r="CB40" s="476"/>
      <c r="CC40" s="476"/>
      <c r="CD40" s="476"/>
      <c r="CE40" s="476"/>
      <c r="CF40" s="476"/>
      <c r="CG40" s="476"/>
      <c r="CH40" s="476"/>
      <c r="CI40" s="476"/>
      <c r="CJ40" s="476"/>
      <c r="CK40" s="476"/>
      <c r="CL40" s="476"/>
      <c r="CM40" s="476"/>
      <c r="CN40" s="476"/>
      <c r="CO40" s="476"/>
      <c r="CP40" s="476"/>
      <c r="CQ40" s="476"/>
      <c r="CR40" s="476"/>
      <c r="CS40" s="476"/>
    </row>
    <row r="41" spans="1:97" s="477" customFormat="1">
      <c r="A41" s="502" t="s">
        <v>1874</v>
      </c>
      <c r="B41" s="483" t="s">
        <v>1875</v>
      </c>
      <c r="C41" s="565"/>
      <c r="D41" s="566"/>
      <c r="E41" s="566"/>
      <c r="F41" s="566"/>
      <c r="G41" s="565">
        <f>H41+J41+I41</f>
        <v>3232710.3705000002</v>
      </c>
      <c r="H41" s="566"/>
      <c r="I41" s="566"/>
      <c r="J41" s="566">
        <f>'ГБ 2015'!N90+'ГБ 2015'!N103</f>
        <v>3232710.3705000002</v>
      </c>
      <c r="K41" s="565"/>
      <c r="L41" s="566"/>
      <c r="M41" s="566"/>
      <c r="N41" s="566"/>
      <c r="O41" s="566"/>
      <c r="P41" s="566"/>
      <c r="Q41" s="565"/>
      <c r="R41" s="566"/>
      <c r="S41" s="566"/>
      <c r="T41" s="566"/>
      <c r="U41" s="568"/>
      <c r="V41" s="566"/>
      <c r="W41" s="566"/>
      <c r="X41" s="566"/>
      <c r="Y41" s="565"/>
      <c r="Z41" s="565"/>
      <c r="AA41" s="566"/>
      <c r="AB41" s="566"/>
      <c r="AC41" s="566"/>
      <c r="AD41" s="566"/>
      <c r="AE41" s="565"/>
      <c r="AF41" s="566"/>
      <c r="AG41" s="566"/>
      <c r="AH41" s="566"/>
      <c r="AI41" s="565"/>
      <c r="AJ41" s="565"/>
      <c r="AK41" s="565">
        <f>C41+G41+K41+Q41+U41+Y41+Z41+AE41+AI41+AJ41</f>
        <v>3232710.3705000002</v>
      </c>
      <c r="AL41" s="474"/>
      <c r="AM41" s="475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6"/>
      <c r="BO41" s="476"/>
      <c r="BP41" s="476"/>
      <c r="BQ41" s="476"/>
      <c r="BR41" s="476"/>
      <c r="BS41" s="476"/>
      <c r="BT41" s="476"/>
      <c r="BU41" s="476"/>
      <c r="BV41" s="476"/>
      <c r="BW41" s="476"/>
      <c r="BX41" s="476"/>
      <c r="BY41" s="476"/>
      <c r="BZ41" s="476"/>
      <c r="CA41" s="476"/>
      <c r="CB41" s="476"/>
      <c r="CC41" s="476"/>
      <c r="CD41" s="476"/>
      <c r="CE41" s="476"/>
      <c r="CF41" s="476"/>
      <c r="CG41" s="476"/>
      <c r="CH41" s="476"/>
      <c r="CI41" s="476"/>
      <c r="CJ41" s="476"/>
      <c r="CK41" s="476"/>
      <c r="CL41" s="476"/>
      <c r="CM41" s="476"/>
      <c r="CN41" s="476"/>
      <c r="CO41" s="476"/>
      <c r="CP41" s="476"/>
      <c r="CQ41" s="476"/>
      <c r="CR41" s="476"/>
      <c r="CS41" s="476"/>
    </row>
    <row r="42" spans="1:97" s="477" customFormat="1" ht="42">
      <c r="A42" s="500" t="s">
        <v>86</v>
      </c>
      <c r="B42" s="482" t="s">
        <v>87</v>
      </c>
      <c r="C42" s="565"/>
      <c r="D42" s="566"/>
      <c r="E42" s="566"/>
      <c r="F42" s="566"/>
      <c r="G42" s="565"/>
      <c r="H42" s="566"/>
      <c r="I42" s="566"/>
      <c r="J42" s="566"/>
      <c r="K42" s="565"/>
      <c r="L42" s="566"/>
      <c r="M42" s="566"/>
      <c r="N42" s="566"/>
      <c r="O42" s="566"/>
      <c r="P42" s="566"/>
      <c r="Q42" s="565"/>
      <c r="R42" s="566"/>
      <c r="S42" s="566"/>
      <c r="T42" s="566"/>
      <c r="U42" s="568"/>
      <c r="V42" s="566"/>
      <c r="W42" s="566"/>
      <c r="X42" s="566"/>
      <c r="Y42" s="565">
        <f>'ДФ 2015'!H11+'ГБ 2015'!N84+'ГБ 2015'!N98+'ГБ 2015'!N111+'ГБ 2015'!N113</f>
        <v>11884220.13456</v>
      </c>
      <c r="Z42" s="565"/>
      <c r="AA42" s="566"/>
      <c r="AB42" s="566"/>
      <c r="AC42" s="566"/>
      <c r="AD42" s="566"/>
      <c r="AE42" s="565"/>
      <c r="AF42" s="566"/>
      <c r="AG42" s="566"/>
      <c r="AH42" s="566"/>
      <c r="AI42" s="565"/>
      <c r="AJ42" s="565"/>
      <c r="AK42" s="565">
        <f>C42+G42+K42+Q42+U42+Y42+Z42+AE42+AI42+AJ42</f>
        <v>11884220.13456</v>
      </c>
      <c r="AL42" s="474"/>
      <c r="AM42" s="475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6"/>
      <c r="BO42" s="476"/>
      <c r="BP42" s="476"/>
      <c r="BQ42" s="476"/>
      <c r="BR42" s="476"/>
      <c r="BS42" s="476"/>
      <c r="BT42" s="476"/>
      <c r="BU42" s="476"/>
      <c r="BV42" s="476"/>
      <c r="BW42" s="476"/>
      <c r="BX42" s="476"/>
      <c r="BY42" s="476"/>
      <c r="BZ42" s="476"/>
      <c r="CA42" s="476"/>
      <c r="CB42" s="476"/>
      <c r="CC42" s="476"/>
      <c r="CD42" s="476"/>
      <c r="CE42" s="476"/>
      <c r="CF42" s="476"/>
      <c r="CG42" s="476"/>
      <c r="CH42" s="476"/>
      <c r="CI42" s="476"/>
      <c r="CJ42" s="476"/>
      <c r="CK42" s="476"/>
      <c r="CL42" s="476"/>
      <c r="CM42" s="476"/>
      <c r="CN42" s="476"/>
      <c r="CO42" s="476"/>
      <c r="CP42" s="476"/>
      <c r="CQ42" s="476"/>
      <c r="CR42" s="476"/>
      <c r="CS42" s="476"/>
    </row>
    <row r="43" spans="1:97" s="477" customFormat="1" ht="42">
      <c r="A43" s="501" t="s">
        <v>1924</v>
      </c>
      <c r="B43" s="483" t="s">
        <v>1925</v>
      </c>
      <c r="C43" s="565"/>
      <c r="D43" s="566"/>
      <c r="E43" s="566"/>
      <c r="F43" s="566"/>
      <c r="G43" s="565"/>
      <c r="H43" s="566"/>
      <c r="I43" s="566"/>
      <c r="J43" s="566"/>
      <c r="K43" s="565"/>
      <c r="L43" s="566"/>
      <c r="M43" s="566"/>
      <c r="N43" s="566"/>
      <c r="O43" s="566"/>
      <c r="P43" s="566"/>
      <c r="Q43" s="565"/>
      <c r="R43" s="566"/>
      <c r="S43" s="566"/>
      <c r="T43" s="566"/>
      <c r="U43" s="568"/>
      <c r="V43" s="566"/>
      <c r="W43" s="566"/>
      <c r="X43" s="566"/>
      <c r="Y43" s="565"/>
      <c r="Z43" s="565"/>
      <c r="AA43" s="566"/>
      <c r="AB43" s="566"/>
      <c r="AC43" s="566"/>
      <c r="AD43" s="566"/>
      <c r="AE43" s="565"/>
      <c r="AF43" s="566"/>
      <c r="AG43" s="566"/>
      <c r="AH43" s="566"/>
      <c r="AI43" s="565"/>
      <c r="AJ43" s="565"/>
      <c r="AK43" s="565"/>
      <c r="AL43" s="474"/>
      <c r="AM43" s="475"/>
      <c r="AN43" s="476"/>
      <c r="AO43" s="476"/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6"/>
      <c r="BI43" s="476"/>
      <c r="BJ43" s="476"/>
      <c r="BK43" s="476"/>
      <c r="BL43" s="476"/>
      <c r="BM43" s="476"/>
      <c r="BN43" s="476"/>
      <c r="BO43" s="476"/>
      <c r="BP43" s="476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476"/>
      <c r="CD43" s="476"/>
      <c r="CE43" s="476"/>
      <c r="CF43" s="476"/>
      <c r="CG43" s="476"/>
      <c r="CH43" s="476"/>
      <c r="CI43" s="476"/>
      <c r="CJ43" s="476"/>
      <c r="CK43" s="476"/>
      <c r="CL43" s="476"/>
      <c r="CM43" s="476"/>
      <c r="CN43" s="476"/>
      <c r="CO43" s="476"/>
      <c r="CP43" s="476"/>
      <c r="CQ43" s="476"/>
      <c r="CR43" s="476"/>
      <c r="CS43" s="476"/>
    </row>
    <row r="44" spans="1:97" s="477" customFormat="1" ht="42">
      <c r="A44" s="491" t="s">
        <v>88</v>
      </c>
      <c r="B44" s="491" t="s">
        <v>89</v>
      </c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5">
        <f t="shared" ref="Z44:AK44" si="14">Z45+Z46</f>
        <v>5257066.0523000006</v>
      </c>
      <c r="AA44" s="565">
        <f t="shared" si="14"/>
        <v>2549247.0523000001</v>
      </c>
      <c r="AB44" s="565"/>
      <c r="AC44" s="565">
        <f t="shared" si="14"/>
        <v>2707819</v>
      </c>
      <c r="AD44" s="565"/>
      <c r="AE44" s="565"/>
      <c r="AF44" s="565"/>
      <c r="AG44" s="565"/>
      <c r="AH44" s="565"/>
      <c r="AI44" s="565"/>
      <c r="AJ44" s="565">
        <f t="shared" si="14"/>
        <v>5128032.3819000004</v>
      </c>
      <c r="AK44" s="565">
        <f t="shared" si="14"/>
        <v>10385098.4342</v>
      </c>
      <c r="AL44" s="474"/>
      <c r="AM44" s="475"/>
      <c r="AN44" s="476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476"/>
      <c r="BH44" s="476"/>
      <c r="BI44" s="476"/>
      <c r="BJ44" s="476"/>
      <c r="BK44" s="476"/>
      <c r="BL44" s="476"/>
      <c r="BM44" s="476"/>
      <c r="BN44" s="476"/>
      <c r="BO44" s="476"/>
      <c r="BP44" s="476"/>
      <c r="BQ44" s="476"/>
      <c r="BR44" s="476"/>
      <c r="BS44" s="476"/>
      <c r="BT44" s="476"/>
      <c r="BU44" s="476"/>
      <c r="BV44" s="476"/>
      <c r="BW44" s="476"/>
      <c r="BX44" s="476"/>
      <c r="BY44" s="476"/>
      <c r="BZ44" s="476"/>
      <c r="CA44" s="476"/>
      <c r="CB44" s="476"/>
      <c r="CC44" s="476"/>
      <c r="CD44" s="476"/>
      <c r="CE44" s="476"/>
      <c r="CF44" s="476"/>
      <c r="CG44" s="476"/>
      <c r="CH44" s="476"/>
      <c r="CI44" s="476"/>
      <c r="CJ44" s="476"/>
      <c r="CK44" s="476"/>
      <c r="CL44" s="476"/>
      <c r="CM44" s="476"/>
      <c r="CN44" s="476"/>
      <c r="CO44" s="476"/>
      <c r="CP44" s="476"/>
      <c r="CQ44" s="476"/>
      <c r="CR44" s="476"/>
      <c r="CS44" s="476"/>
    </row>
    <row r="45" spans="1:97" s="477" customFormat="1" ht="42">
      <c r="A45" s="500" t="s">
        <v>90</v>
      </c>
      <c r="B45" s="482" t="s">
        <v>89</v>
      </c>
      <c r="C45" s="565"/>
      <c r="D45" s="566"/>
      <c r="E45" s="566"/>
      <c r="F45" s="566"/>
      <c r="G45" s="565"/>
      <c r="H45" s="566"/>
      <c r="I45" s="566"/>
      <c r="J45" s="566"/>
      <c r="K45" s="565"/>
      <c r="L45" s="566"/>
      <c r="M45" s="566"/>
      <c r="N45" s="566"/>
      <c r="O45" s="566"/>
      <c r="P45" s="566"/>
      <c r="Q45" s="565"/>
      <c r="R45" s="566"/>
      <c r="S45" s="566"/>
      <c r="T45" s="566"/>
      <c r="U45" s="568"/>
      <c r="V45" s="566"/>
      <c r="W45" s="566"/>
      <c r="X45" s="566"/>
      <c r="Y45" s="565"/>
      <c r="Z45" s="565">
        <f>AA45+AC45+AB45+AD45</f>
        <v>2549247.0523000001</v>
      </c>
      <c r="AA45" s="566">
        <f>'ГБ 2015'!N273+'ГБ 2015'!N228+'ГБ 2015'!N283+'ГБ 2015'!N238</f>
        <v>2549247.0523000001</v>
      </c>
      <c r="AB45" s="566"/>
      <c r="AC45" s="566"/>
      <c r="AD45" s="566"/>
      <c r="AE45" s="565"/>
      <c r="AF45" s="566"/>
      <c r="AG45" s="566"/>
      <c r="AH45" s="566"/>
      <c r="AI45" s="565"/>
      <c r="AJ45" s="565">
        <f>'ГБ 2015'!N241+'ГБ 2015'!N220</f>
        <v>5128032.3819000004</v>
      </c>
      <c r="AK45" s="565">
        <f>C45+G45+K45+Q45+U45+Y45+Z45+AE45+AI45+AJ45</f>
        <v>7677279.4342</v>
      </c>
      <c r="AL45" s="474"/>
      <c r="AM45" s="475"/>
      <c r="AN45" s="476"/>
      <c r="AO45" s="476"/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6"/>
      <c r="BE45" s="476"/>
      <c r="BF45" s="476"/>
      <c r="BG45" s="476"/>
      <c r="BH45" s="476"/>
      <c r="BI45" s="476"/>
      <c r="BJ45" s="476"/>
      <c r="BK45" s="476"/>
      <c r="BL45" s="476"/>
      <c r="BM45" s="476"/>
      <c r="BN45" s="476"/>
      <c r="BO45" s="476"/>
      <c r="BP45" s="476"/>
      <c r="BQ45" s="476"/>
      <c r="BR45" s="476"/>
      <c r="BS45" s="476"/>
      <c r="BT45" s="476"/>
      <c r="BU45" s="476"/>
      <c r="BV45" s="476"/>
      <c r="BW45" s="476"/>
      <c r="BX45" s="476"/>
      <c r="BY45" s="476"/>
      <c r="BZ45" s="476"/>
      <c r="CA45" s="476"/>
      <c r="CB45" s="476"/>
      <c r="CC45" s="476"/>
      <c r="CD45" s="476"/>
      <c r="CE45" s="476"/>
      <c r="CF45" s="476"/>
      <c r="CG45" s="476"/>
      <c r="CH45" s="476"/>
      <c r="CI45" s="476"/>
      <c r="CJ45" s="476"/>
      <c r="CK45" s="476"/>
      <c r="CL45" s="476"/>
      <c r="CM45" s="476"/>
      <c r="CN45" s="476"/>
      <c r="CO45" s="476"/>
      <c r="CP45" s="476"/>
      <c r="CQ45" s="476"/>
      <c r="CR45" s="476"/>
      <c r="CS45" s="476"/>
    </row>
    <row r="46" spans="1:97" s="477" customFormat="1">
      <c r="A46" s="500" t="s">
        <v>91</v>
      </c>
      <c r="B46" s="482" t="s">
        <v>92</v>
      </c>
      <c r="C46" s="565"/>
      <c r="D46" s="566"/>
      <c r="E46" s="566"/>
      <c r="F46" s="566"/>
      <c r="G46" s="565"/>
      <c r="H46" s="566"/>
      <c r="I46" s="566"/>
      <c r="J46" s="566"/>
      <c r="K46" s="565"/>
      <c r="L46" s="566"/>
      <c r="M46" s="566"/>
      <c r="N46" s="566"/>
      <c r="O46" s="566"/>
      <c r="P46" s="566"/>
      <c r="Q46" s="565"/>
      <c r="R46" s="566"/>
      <c r="S46" s="566"/>
      <c r="T46" s="566"/>
      <c r="U46" s="568"/>
      <c r="V46" s="566"/>
      <c r="W46" s="566"/>
      <c r="X46" s="566"/>
      <c r="Y46" s="565"/>
      <c r="Z46" s="565">
        <f>AA46+AC46+AB46+AD46</f>
        <v>2707819</v>
      </c>
      <c r="AA46" s="566"/>
      <c r="AB46" s="566"/>
      <c r="AC46" s="566">
        <f>'НБ прем.'!F30</f>
        <v>2707819</v>
      </c>
      <c r="AD46" s="566"/>
      <c r="AE46" s="565"/>
      <c r="AF46" s="566"/>
      <c r="AG46" s="566"/>
      <c r="AH46" s="566"/>
      <c r="AI46" s="565"/>
      <c r="AJ46" s="565"/>
      <c r="AK46" s="565">
        <f>C46+G46+K46+Q46+U46+Y46+Z46+AE46+AI46+AJ46</f>
        <v>2707819</v>
      </c>
      <c r="AL46" s="474"/>
      <c r="AM46" s="475"/>
      <c r="AN46" s="476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6"/>
      <c r="BF46" s="476"/>
      <c r="BG46" s="476"/>
      <c r="BH46" s="476"/>
      <c r="BI46" s="476"/>
      <c r="BJ46" s="476"/>
      <c r="BK46" s="476"/>
      <c r="BL46" s="476"/>
      <c r="BM46" s="476"/>
      <c r="BN46" s="476"/>
      <c r="BO46" s="476"/>
      <c r="BP46" s="476"/>
      <c r="BQ46" s="476"/>
      <c r="BR46" s="476"/>
      <c r="BS46" s="476"/>
      <c r="BT46" s="476"/>
      <c r="BU46" s="476"/>
      <c r="BV46" s="476"/>
      <c r="BW46" s="476"/>
      <c r="BX46" s="476"/>
      <c r="BY46" s="476"/>
      <c r="BZ46" s="476"/>
      <c r="CA46" s="476"/>
      <c r="CB46" s="476"/>
      <c r="CC46" s="476"/>
      <c r="CD46" s="476"/>
      <c r="CE46" s="476"/>
      <c r="CF46" s="476"/>
      <c r="CG46" s="476"/>
      <c r="CH46" s="476"/>
      <c r="CI46" s="476"/>
      <c r="CJ46" s="476"/>
      <c r="CK46" s="476"/>
      <c r="CL46" s="476"/>
      <c r="CM46" s="476"/>
      <c r="CN46" s="476"/>
      <c r="CO46" s="476"/>
      <c r="CP46" s="476"/>
      <c r="CQ46" s="476"/>
      <c r="CR46" s="476"/>
      <c r="CS46" s="476"/>
    </row>
    <row r="47" spans="1:97" s="477" customFormat="1">
      <c r="A47" s="507" t="s">
        <v>1876</v>
      </c>
      <c r="B47" s="506" t="s">
        <v>1877</v>
      </c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>
        <f>'ГБ 2015'!N290</f>
        <v>137737.83499999999</v>
      </c>
      <c r="AK47" s="565">
        <f>C47+G47+K47+Q47+U47+Y47+Z47+AE47+AI47+AJ47</f>
        <v>137737.83499999999</v>
      </c>
      <c r="AL47" s="474"/>
      <c r="AM47" s="475"/>
      <c r="AN47" s="476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6"/>
      <c r="BE47" s="476"/>
      <c r="BF47" s="476"/>
      <c r="BG47" s="476"/>
      <c r="BH47" s="476"/>
      <c r="BI47" s="476"/>
      <c r="BJ47" s="476"/>
      <c r="BK47" s="476"/>
      <c r="BL47" s="476"/>
      <c r="BM47" s="476"/>
      <c r="BN47" s="476"/>
      <c r="BO47" s="476"/>
      <c r="BP47" s="476"/>
      <c r="BQ47" s="476"/>
      <c r="BR47" s="476"/>
      <c r="BS47" s="476"/>
      <c r="BT47" s="476"/>
      <c r="BU47" s="476"/>
      <c r="BV47" s="476"/>
      <c r="BW47" s="476"/>
      <c r="BX47" s="476"/>
      <c r="BY47" s="476"/>
      <c r="BZ47" s="476"/>
      <c r="CA47" s="476"/>
      <c r="CB47" s="476"/>
      <c r="CC47" s="476"/>
      <c r="CD47" s="476"/>
      <c r="CE47" s="476"/>
      <c r="CF47" s="476"/>
      <c r="CG47" s="476"/>
      <c r="CH47" s="476"/>
      <c r="CI47" s="476"/>
      <c r="CJ47" s="476"/>
      <c r="CK47" s="476"/>
      <c r="CL47" s="476"/>
      <c r="CM47" s="476"/>
      <c r="CN47" s="476"/>
      <c r="CO47" s="476"/>
      <c r="CP47" s="476"/>
      <c r="CQ47" s="476"/>
      <c r="CR47" s="476"/>
      <c r="CS47" s="476"/>
    </row>
    <row r="48" spans="1:97" s="477" customFormat="1" ht="38.1" customHeight="1">
      <c r="A48" s="1202" t="s">
        <v>46</v>
      </c>
      <c r="B48" s="1203"/>
      <c r="C48" s="565">
        <f t="shared" ref="C48:AC48" si="15">C4+C5+C22+C27+C31+C37+C44+C47</f>
        <v>463462038.29051745</v>
      </c>
      <c r="D48" s="565">
        <f t="shared" si="15"/>
        <v>297586630.35859996</v>
      </c>
      <c r="E48" s="565">
        <f t="shared" si="15"/>
        <v>17905770.29696054</v>
      </c>
      <c r="F48" s="565">
        <f t="shared" si="15"/>
        <v>147969637.63495699</v>
      </c>
      <c r="G48" s="565">
        <f t="shared" si="15"/>
        <v>3501890.3625000003</v>
      </c>
      <c r="H48" s="565">
        <f t="shared" si="15"/>
        <v>269179.99199999997</v>
      </c>
      <c r="I48" s="565"/>
      <c r="J48" s="565">
        <f t="shared" si="15"/>
        <v>3232710.3705000002</v>
      </c>
      <c r="K48" s="565">
        <f t="shared" si="15"/>
        <v>479726797.02549011</v>
      </c>
      <c r="L48" s="565">
        <f t="shared" si="15"/>
        <v>274276161.25963753</v>
      </c>
      <c r="M48" s="565">
        <f t="shared" si="15"/>
        <v>140566267.81397218</v>
      </c>
      <c r="N48" s="565">
        <f t="shared" si="15"/>
        <v>61701558.851880357</v>
      </c>
      <c r="O48" s="565">
        <f t="shared" si="15"/>
        <v>3182809.1000000006</v>
      </c>
      <c r="P48" s="565"/>
      <c r="Q48" s="565">
        <f t="shared" si="15"/>
        <v>92362631.192542911</v>
      </c>
      <c r="R48" s="565">
        <f t="shared" si="15"/>
        <v>35673276.222737812</v>
      </c>
      <c r="S48" s="565"/>
      <c r="T48" s="565">
        <f t="shared" si="15"/>
        <v>56689354.969805099</v>
      </c>
      <c r="U48" s="565">
        <f t="shared" si="15"/>
        <v>271348933.74289376</v>
      </c>
      <c r="V48" s="565">
        <f t="shared" si="15"/>
        <v>255986850.69641754</v>
      </c>
      <c r="W48" s="565">
        <f t="shared" si="15"/>
        <v>13074113.231043609</v>
      </c>
      <c r="X48" s="565">
        <f t="shared" si="15"/>
        <v>2287969.8154326314</v>
      </c>
      <c r="Y48" s="565">
        <f t="shared" si="15"/>
        <v>42331656.909159996</v>
      </c>
      <c r="Z48" s="565">
        <f t="shared" si="15"/>
        <v>5257066.0523000006</v>
      </c>
      <c r="AA48" s="565">
        <f t="shared" si="15"/>
        <v>2549247.0523000001</v>
      </c>
      <c r="AB48" s="565"/>
      <c r="AC48" s="565">
        <f t="shared" si="15"/>
        <v>2707819</v>
      </c>
      <c r="AD48" s="565"/>
      <c r="AE48" s="565">
        <f>AG48+AH48+AF48</f>
        <v>4427080.3999999985</v>
      </c>
      <c r="AF48" s="565"/>
      <c r="AG48" s="565">
        <f t="shared" ref="AG48:AJ48" si="16">AG4+AG5+AG22+AG27+AG31+AG37+AG44+AG47</f>
        <v>4427080.3999999985</v>
      </c>
      <c r="AH48" s="565"/>
      <c r="AI48" s="565">
        <f t="shared" si="16"/>
        <v>1612487.7891899999</v>
      </c>
      <c r="AJ48" s="565">
        <f t="shared" si="16"/>
        <v>5265770.2169000003</v>
      </c>
      <c r="AK48" s="569">
        <f>AK4+AK5+AK22+AK27+AK31+AK37+AK44+AK47</f>
        <v>1369296351.9814942</v>
      </c>
      <c r="AL48" s="474"/>
      <c r="AM48" s="475"/>
      <c r="AN48" s="476"/>
      <c r="AO48" s="476"/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6"/>
      <c r="BE48" s="476"/>
      <c r="BF48" s="476"/>
      <c r="BG48" s="476"/>
      <c r="BH48" s="476"/>
      <c r="BI48" s="476"/>
      <c r="BJ48" s="476"/>
      <c r="BK48" s="476"/>
      <c r="BL48" s="476"/>
      <c r="BM48" s="476"/>
      <c r="BN48" s="476"/>
      <c r="BO48" s="476"/>
      <c r="BP48" s="476"/>
      <c r="BQ48" s="476"/>
      <c r="BR48" s="476"/>
      <c r="BS48" s="476"/>
      <c r="BT48" s="476"/>
      <c r="BU48" s="476"/>
      <c r="BV48" s="476"/>
      <c r="BW48" s="476"/>
      <c r="BX48" s="476"/>
      <c r="BY48" s="476"/>
      <c r="BZ48" s="476"/>
      <c r="CA48" s="476"/>
      <c r="CB48" s="476"/>
      <c r="CC48" s="476"/>
      <c r="CD48" s="476"/>
      <c r="CE48" s="476"/>
      <c r="CF48" s="476"/>
      <c r="CG48" s="476"/>
      <c r="CH48" s="476"/>
      <c r="CI48" s="476"/>
      <c r="CJ48" s="476"/>
      <c r="CK48" s="476"/>
      <c r="CL48" s="476"/>
      <c r="CM48" s="476"/>
      <c r="CN48" s="476"/>
      <c r="CO48" s="476"/>
      <c r="CP48" s="476"/>
      <c r="CQ48" s="476"/>
      <c r="CR48" s="476"/>
      <c r="CS48" s="476"/>
    </row>
    <row r="49" spans="1:97" ht="18.75">
      <c r="A49"/>
      <c r="B49"/>
      <c r="C49" s="29"/>
      <c r="D49" s="29"/>
      <c r="E49" s="29"/>
      <c r="F49" s="29"/>
      <c r="G49" s="494"/>
      <c r="J49" s="29"/>
      <c r="K49" s="494"/>
      <c r="L49" s="29"/>
      <c r="M49" s="29"/>
      <c r="N49" s="29"/>
      <c r="O49" s="29"/>
      <c r="P49" s="29"/>
      <c r="Q49" s="494"/>
      <c r="R49" s="29"/>
      <c r="S49" s="29"/>
      <c r="T49" s="29"/>
      <c r="U49" s="494"/>
      <c r="V49" s="29"/>
      <c r="W49" s="29"/>
      <c r="X49" s="29"/>
      <c r="Y49" s="494"/>
      <c r="Z49" s="494"/>
      <c r="AA49" s="29"/>
      <c r="AB49" s="29"/>
      <c r="AC49" s="29"/>
      <c r="AD49" s="29"/>
      <c r="AE49" s="494"/>
      <c r="AF49" s="29"/>
      <c r="AG49" s="29"/>
      <c r="AH49" s="29"/>
      <c r="AI49" s="494"/>
      <c r="AJ49" s="494"/>
      <c r="AK49" s="494"/>
      <c r="AL49" s="179"/>
      <c r="AM49" s="185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ht="18.75">
      <c r="A50"/>
      <c r="B50"/>
      <c r="C50" s="29"/>
      <c r="D50" s="29"/>
      <c r="E50" s="29"/>
      <c r="F50" s="29"/>
      <c r="G50" s="494"/>
      <c r="H50" s="29"/>
      <c r="I50" s="29"/>
      <c r="J50" s="29"/>
      <c r="K50" s="494"/>
      <c r="L50" s="29"/>
      <c r="M50" s="29"/>
      <c r="N50" s="29"/>
      <c r="O50" s="29"/>
      <c r="P50" s="29"/>
      <c r="Q50" s="494"/>
      <c r="R50" s="29"/>
      <c r="S50" s="29"/>
      <c r="T50" s="29"/>
      <c r="U50" s="494"/>
      <c r="V50" s="29"/>
      <c r="W50" s="29"/>
      <c r="X50" s="29"/>
      <c r="Y50" s="494"/>
      <c r="Z50" s="494"/>
      <c r="AA50" s="29"/>
      <c r="AB50" s="29"/>
      <c r="AC50" s="29"/>
      <c r="AD50" s="29"/>
      <c r="AE50" s="494"/>
      <c r="AF50" s="29"/>
      <c r="AG50" s="29"/>
      <c r="AH50" s="29"/>
      <c r="AI50" s="494"/>
      <c r="AJ50" s="494"/>
      <c r="AK50" s="494"/>
      <c r="AL50" s="179"/>
      <c r="AM50" s="185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2" spans="1:97">
      <c r="A52"/>
      <c r="B52"/>
      <c r="K52" s="494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>
      <c r="A53"/>
      <c r="B53"/>
      <c r="K53" s="494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</sheetData>
  <sheetProtection selectLockedCells="1" selectUnlockedCells="1"/>
  <mergeCells count="2">
    <mergeCell ref="AK1:AK2"/>
    <mergeCell ref="A48:B48"/>
  </mergeCells>
  <printOptions horizontalCentered="1"/>
  <pageMargins left="0.11811023622047245" right="0.11811023622047245" top="1.1417322834645669" bottom="0.15748031496062992" header="0.11811023622047245" footer="0.11811023622047245"/>
  <pageSetup paperSize="9" scale="25" firstPageNumber="116" orientation="landscape" useFirstPageNumber="1" r:id="rId1"/>
  <headerFooter scaleWithDoc="0">
    <oddHeader>&amp;R
Приложение 1.</oddHeader>
    <oddFooter>&amp;C&amp;P</oddFooter>
  </headerFooter>
  <colBreaks count="1" manualBreakCount="1">
    <brk id="23" max="5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120" zoomScaleNormal="120" workbookViewId="0">
      <selection activeCell="T23" sqref="T23"/>
    </sheetView>
  </sheetViews>
  <sheetFormatPr defaultColWidth="8.5703125" defaultRowHeight="11.25"/>
  <cols>
    <col min="1" max="1" width="6.140625" style="1024" customWidth="1"/>
    <col min="2" max="2" width="16.5703125" style="1024" customWidth="1"/>
    <col min="3" max="3" width="10.28515625" style="1024" customWidth="1"/>
    <col min="4" max="4" width="11.140625" style="1027" customWidth="1"/>
    <col min="5" max="14" width="6" style="1027" customWidth="1"/>
    <col min="15" max="15" width="10.42578125" style="1027" bestFit="1" customWidth="1"/>
    <col min="16" max="16" width="11.28515625" style="1024" bestFit="1" customWidth="1"/>
    <col min="17" max="17" width="6.28515625" style="1024" customWidth="1"/>
    <col min="18" max="20" width="9.5703125" style="1024" bestFit="1" customWidth="1"/>
    <col min="21" max="21" width="14.5703125" style="1024" customWidth="1"/>
    <col min="22" max="23" width="0" style="1028" hidden="1" customWidth="1"/>
    <col min="24" max="16384" width="8.5703125" style="1028"/>
  </cols>
  <sheetData>
    <row r="1" spans="1:22" s="1013" customFormat="1" ht="14.25" customHeight="1">
      <c r="A1" s="1212"/>
      <c r="B1" s="1213"/>
      <c r="C1" s="1218" t="s">
        <v>226</v>
      </c>
      <c r="D1" s="1218"/>
      <c r="E1" s="1219"/>
      <c r="F1" s="1219"/>
      <c r="G1" s="1219"/>
      <c r="H1" s="1012"/>
      <c r="I1" s="1218"/>
      <c r="J1" s="1218"/>
      <c r="K1" s="1218"/>
      <c r="L1" s="1218"/>
      <c r="M1" s="1218"/>
      <c r="N1" s="1204" t="s">
        <v>227</v>
      </c>
      <c r="O1" s="1210"/>
      <c r="P1" s="1210"/>
      <c r="Q1" s="1211"/>
      <c r="R1" s="1204" t="s">
        <v>218</v>
      </c>
      <c r="S1" s="1205"/>
      <c r="T1" s="1206"/>
      <c r="U1" s="1207" t="s">
        <v>6</v>
      </c>
    </row>
    <row r="2" spans="1:22" s="1013" customFormat="1" ht="14.25" customHeight="1">
      <c r="A2" s="1214"/>
      <c r="B2" s="1215"/>
      <c r="C2" s="992" t="s">
        <v>214</v>
      </c>
      <c r="D2" s="1014" t="s">
        <v>7</v>
      </c>
      <c r="E2" s="1015" t="s">
        <v>1943</v>
      </c>
      <c r="F2" s="1015" t="s">
        <v>1945</v>
      </c>
      <c r="G2" s="1015" t="s">
        <v>1947</v>
      </c>
      <c r="H2" s="989" t="s">
        <v>1949</v>
      </c>
      <c r="I2" s="989" t="s">
        <v>1951</v>
      </c>
      <c r="J2" s="1015" t="s">
        <v>1953</v>
      </c>
      <c r="K2" s="1015" t="s">
        <v>1955</v>
      </c>
      <c r="L2" s="1015" t="s">
        <v>1957</v>
      </c>
      <c r="M2" s="1015" t="s">
        <v>1959</v>
      </c>
      <c r="N2" s="989" t="s">
        <v>1961</v>
      </c>
      <c r="O2" s="990" t="s">
        <v>217</v>
      </c>
      <c r="P2" s="991" t="s">
        <v>210</v>
      </c>
      <c r="Q2" s="991" t="s">
        <v>2638</v>
      </c>
      <c r="R2" s="992" t="s">
        <v>219</v>
      </c>
      <c r="S2" s="1016" t="s">
        <v>211</v>
      </c>
      <c r="T2" s="1017" t="s">
        <v>1964</v>
      </c>
      <c r="U2" s="1207"/>
    </row>
    <row r="3" spans="1:22" s="1020" customFormat="1" ht="45" customHeight="1">
      <c r="A3" s="1216"/>
      <c r="B3" s="1217"/>
      <c r="C3" s="992" t="s">
        <v>215</v>
      </c>
      <c r="D3" s="1014" t="s">
        <v>10</v>
      </c>
      <c r="E3" s="1015" t="s">
        <v>1944</v>
      </c>
      <c r="F3" s="1015" t="s">
        <v>1946</v>
      </c>
      <c r="G3" s="1015" t="s">
        <v>1948</v>
      </c>
      <c r="H3" s="989" t="s">
        <v>1950</v>
      </c>
      <c r="I3" s="989" t="s">
        <v>1952</v>
      </c>
      <c r="J3" s="1015" t="s">
        <v>1954</v>
      </c>
      <c r="K3" s="1015" t="s">
        <v>1956</v>
      </c>
      <c r="L3" s="1015" t="s">
        <v>1958</v>
      </c>
      <c r="M3" s="1015" t="s">
        <v>1960</v>
      </c>
      <c r="N3" s="989" t="s">
        <v>1962</v>
      </c>
      <c r="O3" s="990" t="s">
        <v>216</v>
      </c>
      <c r="P3" s="991" t="s">
        <v>220</v>
      </c>
      <c r="Q3" s="991" t="s">
        <v>2639</v>
      </c>
      <c r="R3" s="993" t="s">
        <v>1963</v>
      </c>
      <c r="S3" s="1018" t="s">
        <v>221</v>
      </c>
      <c r="T3" s="1019" t="s">
        <v>1965</v>
      </c>
      <c r="U3" s="1207"/>
    </row>
    <row r="4" spans="1:22" s="1021" customFormat="1" ht="11.25" customHeight="1">
      <c r="A4" s="994" t="s">
        <v>14</v>
      </c>
      <c r="B4" s="994" t="s">
        <v>15</v>
      </c>
      <c r="C4" s="995">
        <f>C5</f>
        <v>783000037.35481</v>
      </c>
      <c r="D4" s="995">
        <f>D5</f>
        <v>783000037.35481</v>
      </c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5"/>
      <c r="U4" s="995">
        <f>C4+O4+P4+R4</f>
        <v>783000037.35481</v>
      </c>
    </row>
    <row r="5" spans="1:22" s="1023" customFormat="1" ht="11.25" customHeight="1">
      <c r="A5" s="996" t="s">
        <v>16</v>
      </c>
      <c r="B5" s="997" t="s">
        <v>17</v>
      </c>
      <c r="C5" s="998">
        <f t="shared" ref="C5" si="0">D5</f>
        <v>783000037.35481</v>
      </c>
      <c r="D5" s="999">
        <f>'HF-HP'!D38</f>
        <v>783000037.35481</v>
      </c>
      <c r="E5" s="999"/>
      <c r="F5" s="999"/>
      <c r="G5" s="999"/>
      <c r="H5" s="1000"/>
      <c r="I5" s="1000"/>
      <c r="J5" s="999"/>
      <c r="K5" s="999"/>
      <c r="L5" s="999"/>
      <c r="M5" s="999"/>
      <c r="N5" s="1000"/>
      <c r="O5" s="995"/>
      <c r="P5" s="995"/>
      <c r="Q5" s="995"/>
      <c r="R5" s="995"/>
      <c r="S5" s="1001"/>
      <c r="T5" s="1001"/>
      <c r="U5" s="1001">
        <f>C5+O5+P5+R5</f>
        <v>783000037.35481</v>
      </c>
      <c r="V5" s="1022"/>
    </row>
    <row r="6" spans="1:22" s="1023" customFormat="1" ht="11.25" customHeight="1">
      <c r="A6" s="996" t="s">
        <v>1882</v>
      </c>
      <c r="B6" s="997" t="s">
        <v>1883</v>
      </c>
      <c r="C6" s="998"/>
      <c r="D6" s="999"/>
      <c r="E6" s="999"/>
      <c r="F6" s="999"/>
      <c r="G6" s="999"/>
      <c r="H6" s="1000"/>
      <c r="I6" s="1000"/>
      <c r="J6" s="999"/>
      <c r="K6" s="999"/>
      <c r="L6" s="999"/>
      <c r="M6" s="999"/>
      <c r="N6" s="1000"/>
      <c r="O6" s="995"/>
      <c r="P6" s="995"/>
      <c r="Q6" s="995"/>
      <c r="R6" s="995"/>
      <c r="S6" s="1001"/>
      <c r="T6" s="1001"/>
      <c r="U6" s="1001"/>
      <c r="V6" s="1022"/>
    </row>
    <row r="7" spans="1:22" s="1021" customFormat="1" ht="11.25" customHeight="1">
      <c r="A7" s="1002" t="s">
        <v>35</v>
      </c>
      <c r="B7" s="994" t="s">
        <v>36</v>
      </c>
      <c r="C7" s="1003"/>
      <c r="D7" s="995"/>
      <c r="E7" s="995"/>
      <c r="F7" s="995"/>
      <c r="G7" s="995"/>
      <c r="H7" s="995"/>
      <c r="I7" s="995"/>
      <c r="J7" s="995"/>
      <c r="K7" s="995"/>
      <c r="L7" s="995"/>
      <c r="M7" s="995"/>
      <c r="N7" s="995"/>
      <c r="O7" s="995">
        <f>O10+O8</f>
        <v>20577506</v>
      </c>
      <c r="P7" s="1003">
        <f>P10</f>
        <v>37246885</v>
      </c>
      <c r="Q7" s="1003"/>
      <c r="R7" s="995"/>
      <c r="S7" s="1003"/>
      <c r="T7" s="1003"/>
      <c r="U7" s="1003">
        <f>C7+O7+P7+R7</f>
        <v>57824391</v>
      </c>
    </row>
    <row r="8" spans="1:22" s="1023" customFormat="1" ht="11.25" customHeight="1">
      <c r="A8" s="1004" t="s">
        <v>37</v>
      </c>
      <c r="B8" s="997" t="s">
        <v>38</v>
      </c>
      <c r="C8" s="1003"/>
      <c r="D8" s="1001"/>
      <c r="E8" s="1001"/>
      <c r="F8" s="1001"/>
      <c r="G8" s="1001"/>
      <c r="H8" s="995"/>
      <c r="I8" s="995"/>
      <c r="J8" s="1001"/>
      <c r="K8" s="1001"/>
      <c r="L8" s="1001"/>
      <c r="M8" s="1001"/>
      <c r="N8" s="995"/>
      <c r="O8" s="1003">
        <f>'НБ прем.'!C30</f>
        <v>20577506</v>
      </c>
      <c r="P8" s="1003"/>
      <c r="Q8" s="1003"/>
      <c r="R8" s="995"/>
      <c r="S8" s="1005"/>
      <c r="T8" s="1005"/>
      <c r="U8" s="1005">
        <f>C8+O8+P8+R8</f>
        <v>20577506</v>
      </c>
    </row>
    <row r="9" spans="1:22" s="1023" customFormat="1" ht="11.25" customHeight="1">
      <c r="A9" s="1004" t="s">
        <v>1884</v>
      </c>
      <c r="B9" s="997" t="s">
        <v>1885</v>
      </c>
      <c r="C9" s="1003"/>
      <c r="D9" s="1001"/>
      <c r="E9" s="1001"/>
      <c r="F9" s="1001"/>
      <c r="G9" s="1001"/>
      <c r="H9" s="995"/>
      <c r="I9" s="995"/>
      <c r="J9" s="1001"/>
      <c r="K9" s="1001"/>
      <c r="L9" s="1001"/>
      <c r="M9" s="1001"/>
      <c r="N9" s="995"/>
      <c r="O9" s="1003"/>
      <c r="P9" s="1003"/>
      <c r="Q9" s="1003"/>
      <c r="R9" s="995"/>
      <c r="S9" s="1005"/>
      <c r="T9" s="1005"/>
      <c r="U9" s="1005"/>
    </row>
    <row r="10" spans="1:22" s="1023" customFormat="1" ht="11.25" customHeight="1">
      <c r="A10" s="1006" t="s">
        <v>39</v>
      </c>
      <c r="B10" s="997" t="s">
        <v>40</v>
      </c>
      <c r="C10" s="1007"/>
      <c r="D10" s="1001"/>
      <c r="E10" s="1001"/>
      <c r="F10" s="1001"/>
      <c r="G10" s="1001"/>
      <c r="H10" s="995"/>
      <c r="I10" s="995"/>
      <c r="J10" s="1001"/>
      <c r="K10" s="1001"/>
      <c r="L10" s="1001"/>
      <c r="M10" s="1001"/>
      <c r="N10" s="995"/>
      <c r="O10" s="1007"/>
      <c r="P10" s="1007">
        <f>'ОУ 2015'!D4-'НБ выпл.'!C29</f>
        <v>37246885</v>
      </c>
      <c r="Q10" s="1007"/>
      <c r="R10" s="995"/>
      <c r="S10" s="1008"/>
      <c r="T10" s="1008"/>
      <c r="U10" s="1008">
        <f>C10+O10+P10+R10</f>
        <v>37246885</v>
      </c>
    </row>
    <row r="11" spans="1:22" s="1021" customFormat="1" ht="11.25" customHeight="1">
      <c r="A11" s="1009" t="s">
        <v>41</v>
      </c>
      <c r="B11" s="994" t="s">
        <v>42</v>
      </c>
      <c r="C11" s="1007"/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5"/>
      <c r="O11" s="1007"/>
      <c r="P11" s="1007">
        <f>'ОУ 2015'!C4+'ОУ 2015'!C18+'ОУ 2015'!C19+'ОУ 2015'!C20+'ОУ 2015'!C23+'Розница ЛС'!M26*1000+'Розница ЛС'!M27*1000+ОДХnew!C12/1000+ОДХnew!C14/1000</f>
        <v>398969089.40000004</v>
      </c>
      <c r="Q11" s="1007"/>
      <c r="R11" s="995"/>
      <c r="S11" s="1007"/>
      <c r="T11" s="1007"/>
      <c r="U11" s="1007">
        <f>C11+O11+P11+R11</f>
        <v>398969089.40000004</v>
      </c>
    </row>
    <row r="12" spans="1:22" s="1021" customFormat="1" ht="11.25" customHeight="1">
      <c r="A12" s="1006" t="s">
        <v>1886</v>
      </c>
      <c r="B12" s="997" t="s">
        <v>1966</v>
      </c>
      <c r="C12" s="1007"/>
      <c r="D12" s="1001"/>
      <c r="E12" s="1001"/>
      <c r="F12" s="1001"/>
      <c r="G12" s="1001"/>
      <c r="H12" s="995"/>
      <c r="I12" s="995"/>
      <c r="J12" s="1001"/>
      <c r="K12" s="1001"/>
      <c r="L12" s="1001"/>
      <c r="M12" s="1001"/>
      <c r="N12" s="995"/>
      <c r="O12" s="1007"/>
      <c r="P12" s="1007"/>
      <c r="Q12" s="1007"/>
      <c r="R12" s="995"/>
      <c r="S12" s="1008"/>
      <c r="T12" s="1008"/>
      <c r="U12" s="1008"/>
    </row>
    <row r="13" spans="1:22" s="1021" customFormat="1" ht="11.25" customHeight="1">
      <c r="A13" s="1006" t="s">
        <v>1887</v>
      </c>
      <c r="B13" s="997" t="s">
        <v>1967</v>
      </c>
      <c r="C13" s="1007"/>
      <c r="D13" s="1001"/>
      <c r="E13" s="1001"/>
      <c r="F13" s="1001"/>
      <c r="G13" s="1001"/>
      <c r="H13" s="995"/>
      <c r="I13" s="995"/>
      <c r="J13" s="1001"/>
      <c r="K13" s="1001"/>
      <c r="L13" s="1001"/>
      <c r="M13" s="1001"/>
      <c r="N13" s="995"/>
      <c r="O13" s="1007"/>
      <c r="P13" s="1007"/>
      <c r="Q13" s="1007"/>
      <c r="R13" s="995"/>
      <c r="S13" s="1008"/>
      <c r="T13" s="1008"/>
      <c r="U13" s="1008"/>
    </row>
    <row r="14" spans="1:22" s="1021" customFormat="1" ht="11.25" customHeight="1">
      <c r="A14" s="1009" t="s">
        <v>43</v>
      </c>
      <c r="B14" s="994" t="s">
        <v>44</v>
      </c>
      <c r="C14" s="1007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1007"/>
      <c r="P14" s="1007"/>
      <c r="Q14" s="1007"/>
      <c r="R14" s="995">
        <f>S14+T14</f>
        <v>4631429.0600000005</v>
      </c>
      <c r="S14" s="1007">
        <f>S16</f>
        <v>2694132.06</v>
      </c>
      <c r="T14" s="1007">
        <f>T15+T16</f>
        <v>1937297</v>
      </c>
      <c r="U14" s="1007">
        <f>C14+O14+P14+R14</f>
        <v>4631429.0600000005</v>
      </c>
    </row>
    <row r="15" spans="1:22" s="1021" customFormat="1" ht="11.25" customHeight="1">
      <c r="A15" s="1006" t="s">
        <v>1888</v>
      </c>
      <c r="B15" s="997" t="s">
        <v>1968</v>
      </c>
      <c r="C15" s="1007"/>
      <c r="D15" s="1001"/>
      <c r="E15" s="1001"/>
      <c r="F15" s="1001"/>
      <c r="G15" s="1001"/>
      <c r="H15" s="995"/>
      <c r="I15" s="995"/>
      <c r="J15" s="1001"/>
      <c r="K15" s="1001"/>
      <c r="L15" s="1001"/>
      <c r="M15" s="1001"/>
      <c r="N15" s="995"/>
      <c r="O15" s="1007"/>
      <c r="P15" s="1007"/>
      <c r="Q15" s="1007"/>
      <c r="R15" s="995"/>
      <c r="S15" s="1008"/>
      <c r="T15" s="1008"/>
      <c r="U15" s="1008"/>
    </row>
    <row r="16" spans="1:22" s="1023" customFormat="1" ht="11.25" customHeight="1">
      <c r="A16" s="1006" t="s">
        <v>45</v>
      </c>
      <c r="B16" s="997" t="s">
        <v>1969</v>
      </c>
      <c r="C16" s="1007"/>
      <c r="D16" s="1001"/>
      <c r="E16" s="1001"/>
      <c r="F16" s="1001"/>
      <c r="G16" s="1001"/>
      <c r="H16" s="995"/>
      <c r="I16" s="995"/>
      <c r="J16" s="1001"/>
      <c r="K16" s="1001"/>
      <c r="L16" s="1001"/>
      <c r="M16" s="1001"/>
      <c r="N16" s="995"/>
      <c r="O16" s="1007"/>
      <c r="P16" s="1007"/>
      <c r="Q16" s="1007"/>
      <c r="R16" s="995"/>
      <c r="S16" s="1001">
        <f>ФХД2!C18+Доноры!O15</f>
        <v>2694132.06</v>
      </c>
      <c r="T16" s="1001">
        <f>'РБ 2015'!N57</f>
        <v>1937297</v>
      </c>
      <c r="U16" s="1008">
        <f>C16+O16+P16+R16</f>
        <v>0</v>
      </c>
    </row>
    <row r="17" spans="1:21" s="1021" customFormat="1" ht="11.25" customHeight="1">
      <c r="A17" s="1009" t="s">
        <v>1889</v>
      </c>
      <c r="B17" s="1010" t="s">
        <v>1890</v>
      </c>
      <c r="C17" s="1007"/>
      <c r="D17" s="995"/>
      <c r="E17" s="995"/>
      <c r="F17" s="995"/>
      <c r="G17" s="995"/>
      <c r="H17" s="995"/>
      <c r="I17" s="995"/>
      <c r="J17" s="995"/>
      <c r="K17" s="995"/>
      <c r="L17" s="995"/>
      <c r="M17" s="995"/>
      <c r="N17" s="995"/>
      <c r="O17" s="1007"/>
      <c r="P17" s="1007"/>
      <c r="Q17" s="1007"/>
      <c r="R17" s="995"/>
      <c r="S17" s="1007"/>
      <c r="T17" s="1007"/>
      <c r="U17" s="1007"/>
    </row>
    <row r="18" spans="1:21" s="1021" customFormat="1" ht="11.25" customHeight="1">
      <c r="A18" s="1208" t="s">
        <v>46</v>
      </c>
      <c r="B18" s="1209"/>
      <c r="C18" s="1007">
        <f>C4+C7+C11+C14</f>
        <v>783000037.35481</v>
      </c>
      <c r="D18" s="1007">
        <f>D4+D7+D11+D14</f>
        <v>783000037.35481</v>
      </c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>
        <f>O4+O7+O11+O14</f>
        <v>20577506</v>
      </c>
      <c r="P18" s="1007">
        <f>P4+P7+P11+P14</f>
        <v>436215974.40000004</v>
      </c>
      <c r="Q18" s="1007"/>
      <c r="R18" s="1007">
        <f>R4+R7+R11+R14</f>
        <v>4631429.0600000005</v>
      </c>
      <c r="S18" s="1007">
        <f>S14</f>
        <v>2694132.06</v>
      </c>
      <c r="T18" s="1007"/>
      <c r="U18" s="1007">
        <f>C18+O18+P18+R18</f>
        <v>1244424946.81481</v>
      </c>
    </row>
    <row r="19" spans="1:21" s="1020" customFormat="1">
      <c r="A19" s="1024"/>
      <c r="B19" s="1024"/>
      <c r="C19" s="1025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5"/>
      <c r="Q19" s="1025"/>
      <c r="R19" s="1025"/>
      <c r="S19" s="1025"/>
      <c r="T19" s="1025"/>
      <c r="U19" s="1024"/>
    </row>
    <row r="20" spans="1:21">
      <c r="D20" s="1025"/>
      <c r="E20" s="1025"/>
      <c r="F20" s="1025"/>
      <c r="G20" s="1025"/>
      <c r="H20" s="1025"/>
      <c r="I20" s="1025"/>
      <c r="J20" s="1025"/>
      <c r="K20" s="1025"/>
      <c r="L20" s="1025"/>
      <c r="M20" s="1025"/>
      <c r="N20" s="1025"/>
    </row>
  </sheetData>
  <mergeCells count="7">
    <mergeCell ref="R1:T1"/>
    <mergeCell ref="U1:U3"/>
    <mergeCell ref="A18:B18"/>
    <mergeCell ref="N1:Q1"/>
    <mergeCell ref="A1:B3"/>
    <mergeCell ref="C1:G1"/>
    <mergeCell ref="I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zoomScale="110" zoomScaleNormal="11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S12" sqref="S12"/>
    </sheetView>
  </sheetViews>
  <sheetFormatPr defaultColWidth="9.140625" defaultRowHeight="11.25"/>
  <cols>
    <col min="1" max="1" width="10.7109375" style="1063" customWidth="1"/>
    <col min="2" max="2" width="21.7109375" style="1064" customWidth="1"/>
    <col min="3" max="3" width="11.5703125" style="1068" customWidth="1"/>
    <col min="4" max="4" width="12" style="1068" customWidth="1"/>
    <col min="5" max="5" width="7.5703125" style="1068" customWidth="1"/>
    <col min="6" max="7" width="9.7109375" style="1068" customWidth="1"/>
    <col min="8" max="8" width="8.28515625" style="1068" customWidth="1"/>
    <col min="9" max="9" width="9.7109375" style="1068" customWidth="1"/>
    <col min="10" max="10" width="11.28515625" style="1068" customWidth="1"/>
    <col min="11" max="11" width="11.7109375" style="1068" customWidth="1"/>
    <col min="12" max="12" width="8.140625" style="1068" customWidth="1"/>
    <col min="13" max="13" width="9.7109375" style="1068" customWidth="1"/>
    <col min="14" max="14" width="6.140625" style="1068" customWidth="1"/>
    <col min="15" max="16" width="9.7109375" style="1068" customWidth="1"/>
    <col min="17" max="17" width="12.42578125" style="1070" customWidth="1"/>
    <col min="18" max="18" width="9.140625" style="1029"/>
    <col min="19" max="19" width="23.85546875" style="1029" bestFit="1" customWidth="1"/>
    <col min="20" max="20" width="14.140625" style="1029" bestFit="1" customWidth="1"/>
    <col min="21" max="31" width="9.140625" style="1029"/>
    <col min="32" max="16384" width="9.140625" style="1030"/>
  </cols>
  <sheetData>
    <row r="1" spans="1:31">
      <c r="A1" s="1227"/>
      <c r="B1" s="1227"/>
      <c r="C1" s="1228" t="s">
        <v>222</v>
      </c>
      <c r="D1" s="1229"/>
      <c r="E1" s="1230"/>
      <c r="F1" s="1228" t="s">
        <v>223</v>
      </c>
      <c r="G1" s="1229"/>
      <c r="H1" s="1229"/>
      <c r="I1" s="1229"/>
      <c r="J1" s="1229"/>
      <c r="K1" s="1231"/>
      <c r="L1" s="1230"/>
      <c r="M1" s="1232" t="s">
        <v>225</v>
      </c>
      <c r="N1" s="1233"/>
      <c r="O1" s="1232"/>
      <c r="P1" s="1220" t="s">
        <v>1889</v>
      </c>
      <c r="Q1" s="1222" t="s">
        <v>46</v>
      </c>
    </row>
    <row r="2" spans="1:31" ht="22.5">
      <c r="A2" s="1227"/>
      <c r="B2" s="1227"/>
      <c r="C2" s="1031" t="s">
        <v>14</v>
      </c>
      <c r="D2" s="1032" t="s">
        <v>16</v>
      </c>
      <c r="E2" s="1033" t="s">
        <v>1882</v>
      </c>
      <c r="F2" s="1031" t="s">
        <v>35</v>
      </c>
      <c r="G2" s="1032" t="s">
        <v>37</v>
      </c>
      <c r="H2" s="1033" t="s">
        <v>1884</v>
      </c>
      <c r="I2" s="1032" t="s">
        <v>39</v>
      </c>
      <c r="J2" s="1031" t="s">
        <v>41</v>
      </c>
      <c r="K2" s="1033" t="s">
        <v>1886</v>
      </c>
      <c r="L2" s="1033" t="s">
        <v>1887</v>
      </c>
      <c r="M2" s="1031" t="s">
        <v>43</v>
      </c>
      <c r="N2" s="1033" t="s">
        <v>1888</v>
      </c>
      <c r="O2" s="1032" t="s">
        <v>45</v>
      </c>
      <c r="P2" s="1221"/>
      <c r="Q2" s="1223"/>
    </row>
    <row r="3" spans="1:31" ht="112.5">
      <c r="A3" s="1227"/>
      <c r="B3" s="1227"/>
      <c r="C3" s="1031" t="s">
        <v>15</v>
      </c>
      <c r="D3" s="1032" t="s">
        <v>17</v>
      </c>
      <c r="E3" s="1034" t="s">
        <v>1883</v>
      </c>
      <c r="F3" s="1031" t="s">
        <v>36</v>
      </c>
      <c r="G3" s="1032" t="s">
        <v>38</v>
      </c>
      <c r="H3" s="1033" t="s">
        <v>1885</v>
      </c>
      <c r="I3" s="1032" t="s">
        <v>40</v>
      </c>
      <c r="J3" s="1031" t="s">
        <v>42</v>
      </c>
      <c r="K3" s="1033" t="s">
        <v>1966</v>
      </c>
      <c r="L3" s="1033" t="s">
        <v>1967</v>
      </c>
      <c r="M3" s="1031" t="s">
        <v>44</v>
      </c>
      <c r="N3" s="1033" t="s">
        <v>1968</v>
      </c>
      <c r="O3" s="1035" t="s">
        <v>1970</v>
      </c>
      <c r="P3" s="1036" t="s">
        <v>1890</v>
      </c>
      <c r="Q3" s="1224"/>
    </row>
    <row r="4" spans="1:31" s="1041" customFormat="1" ht="22.5">
      <c r="A4" s="1037" t="s">
        <v>1893</v>
      </c>
      <c r="B4" s="1038" t="s">
        <v>1891</v>
      </c>
      <c r="C4" s="1039">
        <f t="shared" ref="C4:Q4" si="0">C5+C6</f>
        <v>620891612.27757215</v>
      </c>
      <c r="D4" s="1039">
        <f t="shared" si="0"/>
        <v>620891612.27757215</v>
      </c>
      <c r="E4" s="1039"/>
      <c r="F4" s="1039">
        <f t="shared" si="0"/>
        <v>55116572</v>
      </c>
      <c r="G4" s="1039">
        <f t="shared" si="0"/>
        <v>17869687</v>
      </c>
      <c r="H4" s="1039"/>
      <c r="I4" s="1039">
        <f t="shared" si="0"/>
        <v>37246885</v>
      </c>
      <c r="J4" s="1039">
        <f t="shared" si="0"/>
        <v>109884139.39999999</v>
      </c>
      <c r="K4" s="1039"/>
      <c r="L4" s="1039"/>
      <c r="M4" s="1039">
        <f t="shared" si="0"/>
        <v>1802334</v>
      </c>
      <c r="N4" s="1039"/>
      <c r="O4" s="1039">
        <f t="shared" si="0"/>
        <v>1802334</v>
      </c>
      <c r="P4" s="1039"/>
      <c r="Q4" s="1039">
        <f t="shared" si="0"/>
        <v>787694657.67757213</v>
      </c>
      <c r="R4" s="1040"/>
      <c r="S4" s="1040"/>
      <c r="T4" s="1040"/>
      <c r="U4" s="1040"/>
      <c r="V4" s="1040"/>
      <c r="W4" s="1040"/>
      <c r="X4" s="1040"/>
      <c r="Y4" s="1040"/>
      <c r="Z4" s="1040"/>
      <c r="AA4" s="1040"/>
      <c r="AB4" s="1040"/>
      <c r="AC4" s="1040"/>
      <c r="AD4" s="1040"/>
      <c r="AE4" s="1040"/>
    </row>
    <row r="5" spans="1:31" s="1046" customFormat="1">
      <c r="A5" s="1042" t="s">
        <v>48</v>
      </c>
      <c r="B5" s="1042" t="s">
        <v>49</v>
      </c>
      <c r="C5" s="1043">
        <f>D5+E5</f>
        <v>620381870.54947221</v>
      </c>
      <c r="D5" s="1043">
        <f>D8+D11+D14</f>
        <v>620381870.54947221</v>
      </c>
      <c r="E5" s="1043"/>
      <c r="F5" s="1043">
        <f>I5+G5+H5</f>
        <v>52098578</v>
      </c>
      <c r="G5" s="1043">
        <f t="shared" ref="G5:J5" si="1">G8+G11+G14</f>
        <v>17869687</v>
      </c>
      <c r="H5" s="1043"/>
      <c r="I5" s="1043">
        <f t="shared" si="1"/>
        <v>34228891</v>
      </c>
      <c r="J5" s="1043">
        <f t="shared" si="1"/>
        <v>103584479.39999999</v>
      </c>
      <c r="K5" s="1043">
        <f>K8+K11+K14</f>
        <v>103584479.39999999</v>
      </c>
      <c r="L5" s="1043"/>
      <c r="M5" s="1043">
        <f>O5</f>
        <v>1802334</v>
      </c>
      <c r="N5" s="1043"/>
      <c r="O5" s="1043">
        <f>O8+O11+O14</f>
        <v>1802334</v>
      </c>
      <c r="P5" s="1043"/>
      <c r="Q5" s="1043">
        <f>C5+F5+J5+M5+P5</f>
        <v>777867261.94947219</v>
      </c>
      <c r="R5" s="1044"/>
      <c r="S5" s="1045"/>
      <c r="T5" s="1044"/>
      <c r="U5" s="1044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</row>
    <row r="6" spans="1:31" s="1046" customFormat="1">
      <c r="A6" s="1042" t="s">
        <v>62</v>
      </c>
      <c r="B6" s="1042" t="s">
        <v>63</v>
      </c>
      <c r="C6" s="1043">
        <f>D6+E6</f>
        <v>509741.72810000001</v>
      </c>
      <c r="D6" s="1043">
        <f>D9+D12+D19+D22</f>
        <v>509741.72810000001</v>
      </c>
      <c r="E6" s="1043"/>
      <c r="F6" s="1043">
        <f>I6+G6+H6</f>
        <v>3017994</v>
      </c>
      <c r="G6" s="1043"/>
      <c r="H6" s="1043"/>
      <c r="I6" s="1043">
        <f t="shared" ref="I6" si="2">I9+I12+I19+I22</f>
        <v>3017994</v>
      </c>
      <c r="J6" s="1043">
        <f>K6</f>
        <v>6299660</v>
      </c>
      <c r="K6" s="1043">
        <f>K9+K12+K19</f>
        <v>6299660</v>
      </c>
      <c r="L6" s="1043"/>
      <c r="M6" s="1043"/>
      <c r="N6" s="1043"/>
      <c r="O6" s="1043"/>
      <c r="P6" s="1043"/>
      <c r="Q6" s="1043">
        <f>C6+F6+J6+M6+P6</f>
        <v>9827395.7280999999</v>
      </c>
      <c r="R6" s="1044"/>
      <c r="S6" s="1044"/>
      <c r="T6" s="1044"/>
      <c r="U6" s="1044"/>
      <c r="V6" s="1044"/>
      <c r="W6" s="1044"/>
      <c r="X6" s="1044"/>
      <c r="Y6" s="1044"/>
      <c r="Z6" s="1044"/>
      <c r="AA6" s="1044"/>
      <c r="AB6" s="1044"/>
      <c r="AC6" s="1044"/>
      <c r="AD6" s="1044"/>
      <c r="AE6" s="1044"/>
    </row>
    <row r="7" spans="1:31" s="1046" customFormat="1" ht="33.75">
      <c r="A7" s="1047" t="s">
        <v>1892</v>
      </c>
      <c r="B7" s="1038" t="s">
        <v>1894</v>
      </c>
      <c r="C7" s="1039">
        <f t="shared" ref="C7:Q7" si="3">C8+C9</f>
        <v>354806704.63996428</v>
      </c>
      <c r="D7" s="1048">
        <f t="shared" si="3"/>
        <v>354806704.63996428</v>
      </c>
      <c r="E7" s="1048"/>
      <c r="F7" s="1039">
        <f t="shared" si="3"/>
        <v>14311641</v>
      </c>
      <c r="G7" s="1048"/>
      <c r="H7" s="1048"/>
      <c r="I7" s="1048">
        <f t="shared" si="3"/>
        <v>14311641</v>
      </c>
      <c r="J7" s="1039">
        <f t="shared" si="3"/>
        <v>40949662.799999997</v>
      </c>
      <c r="K7" s="1048"/>
      <c r="L7" s="1048"/>
      <c r="M7" s="1039">
        <f t="shared" si="3"/>
        <v>1802334</v>
      </c>
      <c r="N7" s="1048"/>
      <c r="O7" s="1048">
        <f t="shared" si="3"/>
        <v>1802334</v>
      </c>
      <c r="P7" s="1039"/>
      <c r="Q7" s="1039">
        <f t="shared" si="3"/>
        <v>411870342.43996429</v>
      </c>
      <c r="R7" s="1044"/>
      <c r="S7" s="1044"/>
      <c r="T7" s="1044"/>
      <c r="U7" s="1044"/>
      <c r="V7" s="1044"/>
      <c r="W7" s="1044"/>
      <c r="X7" s="1044"/>
      <c r="Y7" s="1044"/>
      <c r="Z7" s="1044"/>
      <c r="AA7" s="1044"/>
      <c r="AB7" s="1044"/>
      <c r="AC7" s="1044"/>
      <c r="AD7" s="1044"/>
      <c r="AE7" s="1044"/>
    </row>
    <row r="8" spans="1:31" s="1054" customFormat="1" ht="22.5">
      <c r="A8" s="1049" t="s">
        <v>50</v>
      </c>
      <c r="B8" s="1050" t="s">
        <v>51</v>
      </c>
      <c r="C8" s="1043">
        <f>D8+E8</f>
        <v>354296962.91186428</v>
      </c>
      <c r="D8" s="1051">
        <f>'ДФ 2015'!H13+'ДФ 2015'!H14+'ГБ 2015'!N87+'ГБ 2015'!N131+'ГБ 2015'!N100+'ГБ 2015'!N155+'ДФ 2015'!H9+'ДФ 2015'!H10+'ДФ 2015'!H18+'КОМУ 2015'!E5+'ДФ 2015'!J30+'ГБ 2015'!N213+'ГБ 2015'!N114+'ГБ 2015'!N54+'ГБ 2015'!N56+'ГБ 2015'!N60+'ГБ 2015'!N117+'ГБ 2015'!N139+'ГБ 2015'!N143+'ГБ 2015'!N162+'039 2015'!M9+'ДФ 2015'!H12+'ДФ 2015'!H17+'КОМУ 2015'!E6</f>
        <v>354296962.91186428</v>
      </c>
      <c r="E8" s="1051"/>
      <c r="F8" s="1043">
        <f>I8+G8+H8</f>
        <v>11293647</v>
      </c>
      <c r="G8" s="1051"/>
      <c r="H8" s="1051"/>
      <c r="I8" s="1051">
        <f>'ОУ 2015'!D6+'ОУ 2015'!D7+'ОУ 2015'!D9+'ОУ 2015'!D10+'ОУ 2015'!D11</f>
        <v>11293647</v>
      </c>
      <c r="J8" s="1043">
        <f>K8</f>
        <v>34650002.799999997</v>
      </c>
      <c r="K8" s="1051">
        <f>'ОУ 2015'!C6+'ОУ 2015'!C7+'ОУ 2015'!C9+'ОУ 2015'!C10+'ОУ 2015'!C11+ОДХnew!C14/1000</f>
        <v>34650002.799999997</v>
      </c>
      <c r="L8" s="1051"/>
      <c r="M8" s="1043">
        <f t="shared" ref="M8:M48" si="4">O8</f>
        <v>1802334</v>
      </c>
      <c r="N8" s="1051"/>
      <c r="O8" s="1051">
        <f>ФХД2!C18</f>
        <v>1802334</v>
      </c>
      <c r="P8" s="1043"/>
      <c r="Q8" s="1043">
        <f>C8+F8+J8+M8+P8</f>
        <v>402042946.71186429</v>
      </c>
      <c r="R8" s="1052"/>
      <c r="S8" s="1053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</row>
    <row r="9" spans="1:31" s="1054" customFormat="1" ht="22.5">
      <c r="A9" s="1049" t="s">
        <v>64</v>
      </c>
      <c r="B9" s="1050" t="s">
        <v>65</v>
      </c>
      <c r="C9" s="1043">
        <f>D9+E9</f>
        <v>509741.72810000001</v>
      </c>
      <c r="D9" s="1051">
        <f>'ГБ 2015'!N67</f>
        <v>509741.72810000001</v>
      </c>
      <c r="E9" s="1051"/>
      <c r="F9" s="1043">
        <f>I9+G9+H9</f>
        <v>3017994</v>
      </c>
      <c r="G9" s="1051"/>
      <c r="H9" s="1051"/>
      <c r="I9" s="1051">
        <f>'ОУ 2015'!D8</f>
        <v>3017994</v>
      </c>
      <c r="J9" s="1043">
        <f>K9</f>
        <v>6299660</v>
      </c>
      <c r="K9" s="1051">
        <f>'ОУ 2015'!C8</f>
        <v>6299660</v>
      </c>
      <c r="L9" s="1051"/>
      <c r="M9" s="1043"/>
      <c r="N9" s="1051"/>
      <c r="O9" s="1051"/>
      <c r="P9" s="1043"/>
      <c r="Q9" s="1043">
        <f>C9+F9+J9+M9+P9</f>
        <v>9827395.7280999999</v>
      </c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</row>
    <row r="10" spans="1:31" s="1054" customFormat="1" ht="33.75">
      <c r="A10" s="1047" t="s">
        <v>1895</v>
      </c>
      <c r="B10" s="1038" t="s">
        <v>1896</v>
      </c>
      <c r="C10" s="1039">
        <f t="shared" ref="C10:Q10" si="5">C11+C12</f>
        <v>25753739.300000008</v>
      </c>
      <c r="D10" s="1048">
        <f t="shared" si="5"/>
        <v>25753739.300000008</v>
      </c>
      <c r="E10" s="1048"/>
      <c r="F10" s="1039"/>
      <c r="G10" s="1048"/>
      <c r="H10" s="1048"/>
      <c r="I10" s="1048"/>
      <c r="J10" s="1039"/>
      <c r="K10" s="1048"/>
      <c r="L10" s="1048"/>
      <c r="M10" s="1039"/>
      <c r="N10" s="1048"/>
      <c r="O10" s="1048"/>
      <c r="P10" s="1039"/>
      <c r="Q10" s="1039">
        <f t="shared" si="5"/>
        <v>25753739.300000008</v>
      </c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</row>
    <row r="11" spans="1:31" s="1054" customFormat="1" ht="22.5">
      <c r="A11" s="1049" t="s">
        <v>52</v>
      </c>
      <c r="B11" s="1050" t="s">
        <v>53</v>
      </c>
      <c r="C11" s="1043">
        <f>D11+E11</f>
        <v>25753739.300000008</v>
      </c>
      <c r="D11" s="1051">
        <f>'КОМУ 2015'!E7</f>
        <v>25753739.300000008</v>
      </c>
      <c r="E11" s="1051"/>
      <c r="F11" s="1043"/>
      <c r="G11" s="1051"/>
      <c r="H11" s="1051"/>
      <c r="I11" s="1051"/>
      <c r="J11" s="1043"/>
      <c r="K11" s="1051"/>
      <c r="L11" s="1051"/>
      <c r="M11" s="1043"/>
      <c r="N11" s="1051"/>
      <c r="O11" s="1051"/>
      <c r="P11" s="1043"/>
      <c r="Q11" s="1043">
        <f>C11+F11+J11+M11+P11</f>
        <v>25753739.300000008</v>
      </c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</row>
    <row r="12" spans="1:31" s="1054" customFormat="1" ht="22.5">
      <c r="A12" s="1055" t="s">
        <v>1897</v>
      </c>
      <c r="B12" s="1056" t="s">
        <v>1913</v>
      </c>
      <c r="C12" s="1043"/>
      <c r="D12" s="1051"/>
      <c r="E12" s="1051"/>
      <c r="F12" s="1043"/>
      <c r="G12" s="1051"/>
      <c r="H12" s="1051"/>
      <c r="I12" s="1051"/>
      <c r="J12" s="1043"/>
      <c r="K12" s="1051"/>
      <c r="L12" s="1051"/>
      <c r="M12" s="1043"/>
      <c r="N12" s="1051"/>
      <c r="O12" s="1051"/>
      <c r="P12" s="1043"/>
      <c r="Q12" s="1043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</row>
    <row r="13" spans="1:31" s="1054" customFormat="1" ht="33.75">
      <c r="A13" s="1047" t="s">
        <v>1898</v>
      </c>
      <c r="B13" s="1038" t="s">
        <v>1899</v>
      </c>
      <c r="C13" s="1039">
        <f t="shared" ref="C13:Q13" si="6">C14+C19</f>
        <v>240331168.33760795</v>
      </c>
      <c r="D13" s="1048">
        <f t="shared" si="6"/>
        <v>240331168.33760795</v>
      </c>
      <c r="E13" s="1048"/>
      <c r="F13" s="1039">
        <f t="shared" si="6"/>
        <v>40804931</v>
      </c>
      <c r="G13" s="1048">
        <f t="shared" si="6"/>
        <v>17869687</v>
      </c>
      <c r="H13" s="1048"/>
      <c r="I13" s="1048">
        <f t="shared" si="6"/>
        <v>22935244</v>
      </c>
      <c r="J13" s="1039">
        <f t="shared" si="6"/>
        <v>68934476.599999994</v>
      </c>
      <c r="K13" s="1048"/>
      <c r="L13" s="1048"/>
      <c r="M13" s="1039"/>
      <c r="N13" s="1048"/>
      <c r="O13" s="1048"/>
      <c r="P13" s="1039"/>
      <c r="Q13" s="1039">
        <f t="shared" si="6"/>
        <v>350070575.937608</v>
      </c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</row>
    <row r="14" spans="1:31" s="1054" customFormat="1">
      <c r="A14" s="1049" t="s">
        <v>54</v>
      </c>
      <c r="B14" s="1050" t="s">
        <v>55</v>
      </c>
      <c r="C14" s="1043">
        <f t="shared" ref="C14:C17" si="7">D14+E14</f>
        <v>240331168.33760795</v>
      </c>
      <c r="D14" s="1051">
        <f>D15+D16+D17+D18</f>
        <v>240331168.33760795</v>
      </c>
      <c r="E14" s="1051"/>
      <c r="F14" s="1043">
        <f t="shared" ref="F14:F18" si="8">I14+G14+H14</f>
        <v>40804931</v>
      </c>
      <c r="G14" s="1051">
        <f>G15+G16+G17+G18+'НБ выпл.'!C29</f>
        <v>17869687</v>
      </c>
      <c r="H14" s="1051"/>
      <c r="I14" s="1051">
        <f>I15+I16+I17+I18-'НБ выпл.'!C29</f>
        <v>22935244</v>
      </c>
      <c r="J14" s="1043">
        <f>K14</f>
        <v>68934476.599999994</v>
      </c>
      <c r="K14" s="1051">
        <f>K15+K16+K17+K18</f>
        <v>68934476.599999994</v>
      </c>
      <c r="L14" s="1051"/>
      <c r="M14" s="1043"/>
      <c r="N14" s="1051"/>
      <c r="O14" s="1051"/>
      <c r="P14" s="1043"/>
      <c r="Q14" s="1043">
        <f t="shared" ref="Q14:Q17" si="9">C14+F14+J14+M14+P14</f>
        <v>350070575.937608</v>
      </c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</row>
    <row r="15" spans="1:31" s="1054" customFormat="1" ht="33.75">
      <c r="A15" s="1057" t="s">
        <v>56</v>
      </c>
      <c r="B15" s="1058" t="s">
        <v>57</v>
      </c>
      <c r="C15" s="1043">
        <f t="shared" si="7"/>
        <v>212705850.3470276</v>
      </c>
      <c r="D15" s="1059">
        <f>'039 2015'!M6</f>
        <v>212705850.3470276</v>
      </c>
      <c r="E15" s="1059"/>
      <c r="F15" s="1043">
        <f t="shared" si="8"/>
        <v>18879715</v>
      </c>
      <c r="G15" s="1059"/>
      <c r="H15" s="1059"/>
      <c r="I15" s="1059">
        <f>'ОУ 2015'!D12</f>
        <v>18879715</v>
      </c>
      <c r="J15" s="1043">
        <f>K15</f>
        <v>22071303</v>
      </c>
      <c r="K15" s="1059">
        <f>'ОУ 2015'!C12</f>
        <v>22071303</v>
      </c>
      <c r="L15" s="1059"/>
      <c r="M15" s="1043"/>
      <c r="N15" s="1059"/>
      <c r="O15" s="1059"/>
      <c r="P15" s="1043"/>
      <c r="Q15" s="1043">
        <f t="shared" si="9"/>
        <v>253656868.3470276</v>
      </c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</row>
    <row r="16" spans="1:31" s="1054" customFormat="1" ht="22.5">
      <c r="A16" s="1057" t="s">
        <v>58</v>
      </c>
      <c r="B16" s="1058" t="s">
        <v>59</v>
      </c>
      <c r="C16" s="1043"/>
      <c r="D16" s="1059"/>
      <c r="E16" s="1059"/>
      <c r="F16" s="1043">
        <f t="shared" si="8"/>
        <v>2608225</v>
      </c>
      <c r="G16" s="1059"/>
      <c r="H16" s="1059"/>
      <c r="I16" s="1059">
        <f>'ОУ 2015'!D14</f>
        <v>2608225</v>
      </c>
      <c r="J16" s="1043">
        <f t="shared" ref="J16:J18" si="10">K16</f>
        <v>14828125</v>
      </c>
      <c r="K16" s="1059">
        <f>'ОУ 2015'!C14</f>
        <v>14828125</v>
      </c>
      <c r="L16" s="1059"/>
      <c r="M16" s="1043"/>
      <c r="N16" s="1059"/>
      <c r="O16" s="1059"/>
      <c r="P16" s="1043"/>
      <c r="Q16" s="1043">
        <f t="shared" si="9"/>
        <v>17436350</v>
      </c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</row>
    <row r="17" spans="1:31" s="1054" customFormat="1" ht="22.5">
      <c r="A17" s="1057" t="s">
        <v>60</v>
      </c>
      <c r="B17" s="1058" t="s">
        <v>61</v>
      </c>
      <c r="C17" s="1043">
        <f t="shared" si="7"/>
        <v>27625317.990580354</v>
      </c>
      <c r="D17" s="1059">
        <f>'039 2015'!M7</f>
        <v>27625317.990580354</v>
      </c>
      <c r="E17" s="1059"/>
      <c r="F17" s="1043">
        <f t="shared" si="8"/>
        <v>5229822</v>
      </c>
      <c r="G17" s="1059"/>
      <c r="H17" s="1059"/>
      <c r="I17" s="1059">
        <f>'ОУ 2015'!D13</f>
        <v>5229822</v>
      </c>
      <c r="J17" s="1043">
        <f t="shared" si="10"/>
        <v>9775228</v>
      </c>
      <c r="K17" s="1059">
        <f>'ОУ 2015'!C13</f>
        <v>9775228</v>
      </c>
      <c r="L17" s="1059"/>
      <c r="M17" s="1043"/>
      <c r="N17" s="1059"/>
      <c r="O17" s="1059"/>
      <c r="P17" s="1043"/>
      <c r="Q17" s="1043">
        <f t="shared" si="9"/>
        <v>42630367.99058035</v>
      </c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</row>
    <row r="18" spans="1:31" s="1054" customFormat="1" ht="45">
      <c r="A18" s="1060" t="s">
        <v>1872</v>
      </c>
      <c r="B18" s="1061" t="s">
        <v>1873</v>
      </c>
      <c r="C18" s="1043"/>
      <c r="D18" s="1059"/>
      <c r="E18" s="1059"/>
      <c r="F18" s="1043">
        <f t="shared" si="8"/>
        <v>14087169</v>
      </c>
      <c r="G18" s="1059"/>
      <c r="H18" s="1059"/>
      <c r="I18" s="1059">
        <f>'ОУ 2015'!D15</f>
        <v>14087169</v>
      </c>
      <c r="J18" s="1043">
        <f t="shared" si="10"/>
        <v>22259820.600000001</v>
      </c>
      <c r="K18" s="1059">
        <f>ОДХnew!C12/1000</f>
        <v>22259820.600000001</v>
      </c>
      <c r="L18" s="1059"/>
      <c r="M18" s="1043"/>
      <c r="N18" s="1059"/>
      <c r="O18" s="1059"/>
      <c r="P18" s="1043"/>
      <c r="Q18" s="1043">
        <f>C18+F18+J18+M18+P18</f>
        <v>36346989.600000001</v>
      </c>
      <c r="R18" s="1052"/>
      <c r="S18" s="1052"/>
      <c r="T18" s="1052"/>
      <c r="U18" s="1052"/>
      <c r="V18" s="1052"/>
      <c r="W18" s="1052"/>
      <c r="X18" s="1052"/>
      <c r="Y18" s="1052"/>
      <c r="Z18" s="1052"/>
      <c r="AA18" s="1052"/>
      <c r="AB18" s="1052"/>
      <c r="AC18" s="1052"/>
      <c r="AD18" s="1052"/>
      <c r="AE18" s="1052"/>
    </row>
    <row r="19" spans="1:31" s="1054" customFormat="1" ht="22.5">
      <c r="A19" s="1055" t="s">
        <v>1900</v>
      </c>
      <c r="B19" s="1056" t="s">
        <v>1939</v>
      </c>
      <c r="C19" s="1043"/>
      <c r="D19" s="1051"/>
      <c r="E19" s="1051"/>
      <c r="F19" s="1043"/>
      <c r="G19" s="1051"/>
      <c r="H19" s="1051"/>
      <c r="I19" s="1051"/>
      <c r="J19" s="1043"/>
      <c r="K19" s="1051"/>
      <c r="L19" s="1051"/>
      <c r="M19" s="1043"/>
      <c r="N19" s="1051"/>
      <c r="O19" s="1051"/>
      <c r="P19" s="1043"/>
      <c r="Q19" s="1043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</row>
    <row r="20" spans="1:31" s="1054" customFormat="1" ht="33.75">
      <c r="A20" s="1047" t="s">
        <v>1904</v>
      </c>
      <c r="B20" s="1038" t="s">
        <v>1905</v>
      </c>
      <c r="C20" s="1039"/>
      <c r="D20" s="1048"/>
      <c r="E20" s="1048"/>
      <c r="F20" s="1039"/>
      <c r="G20" s="1048"/>
      <c r="H20" s="1048"/>
      <c r="I20" s="1048"/>
      <c r="J20" s="1039"/>
      <c r="K20" s="1048"/>
      <c r="L20" s="1048"/>
      <c r="M20" s="1039"/>
      <c r="N20" s="1048"/>
      <c r="O20" s="1048"/>
      <c r="P20" s="1039"/>
      <c r="Q20" s="1039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52"/>
      <c r="AC20" s="1052"/>
      <c r="AD20" s="1052"/>
      <c r="AE20" s="1052"/>
    </row>
    <row r="21" spans="1:31" s="1054" customFormat="1">
      <c r="A21" s="1055" t="s">
        <v>1902</v>
      </c>
      <c r="B21" s="1056" t="s">
        <v>1903</v>
      </c>
      <c r="C21" s="1043"/>
      <c r="D21" s="1051"/>
      <c r="E21" s="1051"/>
      <c r="F21" s="1043"/>
      <c r="G21" s="1051"/>
      <c r="H21" s="1051"/>
      <c r="I21" s="1051"/>
      <c r="J21" s="1043"/>
      <c r="K21" s="1051"/>
      <c r="L21" s="1051"/>
      <c r="M21" s="1043"/>
      <c r="N21" s="1051"/>
      <c r="O21" s="1051"/>
      <c r="P21" s="1043"/>
      <c r="Q21" s="1043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</row>
    <row r="22" spans="1:31" s="1054" customFormat="1" ht="22.5">
      <c r="A22" s="1055" t="s">
        <v>1901</v>
      </c>
      <c r="B22" s="1056" t="s">
        <v>1914</v>
      </c>
      <c r="C22" s="1043"/>
      <c r="D22" s="1051"/>
      <c r="E22" s="1051"/>
      <c r="F22" s="1043"/>
      <c r="G22" s="1051"/>
      <c r="H22" s="1051"/>
      <c r="I22" s="1051"/>
      <c r="J22" s="1043"/>
      <c r="K22" s="1051"/>
      <c r="L22" s="1051"/>
      <c r="M22" s="1043"/>
      <c r="N22" s="1051"/>
      <c r="O22" s="1051"/>
      <c r="P22" s="1043"/>
      <c r="Q22" s="1043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</row>
    <row r="23" spans="1:31" s="1046" customFormat="1" ht="22.5">
      <c r="A23" s="1042" t="s">
        <v>66</v>
      </c>
      <c r="B23" s="1042" t="s">
        <v>67</v>
      </c>
      <c r="C23" s="1043">
        <f t="shared" ref="C23:C49" si="11">D23+E23</f>
        <v>269179.99199999997</v>
      </c>
      <c r="D23" s="1043">
        <f>'ГБ 2015'!V76+D24+D25+D26+D27</f>
        <v>269179.99199999997</v>
      </c>
      <c r="E23" s="1043"/>
      <c r="F23" s="1043"/>
      <c r="G23" s="1043"/>
      <c r="H23" s="1043"/>
      <c r="I23" s="1043"/>
      <c r="J23" s="1043">
        <f>J24</f>
        <v>191193</v>
      </c>
      <c r="K23" s="1043">
        <f>K24</f>
        <v>191193</v>
      </c>
      <c r="L23" s="1043"/>
      <c r="M23" s="1043"/>
      <c r="N23" s="1043"/>
      <c r="O23" s="1043"/>
      <c r="P23" s="1043"/>
      <c r="Q23" s="1043">
        <f t="shared" ref="Q23:Q49" si="12">C23+F23+J23+M23+P23</f>
        <v>460372.99199999997</v>
      </c>
      <c r="R23" s="1044"/>
      <c r="S23" s="1044"/>
      <c r="T23" s="1044"/>
      <c r="U23" s="1044"/>
      <c r="V23" s="1044"/>
      <c r="W23" s="1044"/>
      <c r="X23" s="1044"/>
      <c r="Y23" s="1044"/>
      <c r="Z23" s="1044"/>
      <c r="AA23" s="1044"/>
      <c r="AB23" s="1044"/>
      <c r="AC23" s="1044"/>
      <c r="AD23" s="1044"/>
      <c r="AE23" s="1044"/>
    </row>
    <row r="24" spans="1:31" s="1046" customFormat="1" ht="22.5">
      <c r="A24" s="1055" t="s">
        <v>1906</v>
      </c>
      <c r="B24" s="1056" t="s">
        <v>1915</v>
      </c>
      <c r="C24" s="1043"/>
      <c r="D24" s="1051"/>
      <c r="E24" s="1051"/>
      <c r="F24" s="1043"/>
      <c r="G24" s="1051"/>
      <c r="H24" s="1051"/>
      <c r="I24" s="1051"/>
      <c r="J24" s="1043">
        <f>K24</f>
        <v>191193</v>
      </c>
      <c r="K24" s="1051">
        <f>'ОУ 2015'!C18+'ОУ 2015'!C19+'ОУ 2015'!C20+'ОУ 2015'!C23</f>
        <v>191193</v>
      </c>
      <c r="L24" s="1051"/>
      <c r="M24" s="1043"/>
      <c r="N24" s="1051"/>
      <c r="O24" s="1051"/>
      <c r="P24" s="1043"/>
      <c r="Q24" s="1043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</row>
    <row r="25" spans="1:31" s="1046" customFormat="1" ht="33.75">
      <c r="A25" s="1055" t="s">
        <v>1907</v>
      </c>
      <c r="B25" s="1056" t="s">
        <v>1916</v>
      </c>
      <c r="C25" s="1043"/>
      <c r="D25" s="1051"/>
      <c r="E25" s="1051"/>
      <c r="F25" s="1043"/>
      <c r="G25" s="1051"/>
      <c r="H25" s="1051"/>
      <c r="I25" s="1051"/>
      <c r="J25" s="1043"/>
      <c r="K25" s="1051"/>
      <c r="L25" s="1051"/>
      <c r="M25" s="1043"/>
      <c r="N25" s="1051"/>
      <c r="O25" s="1051"/>
      <c r="P25" s="1043"/>
      <c r="Q25" s="1043"/>
      <c r="R25" s="1044"/>
      <c r="S25" s="1044"/>
      <c r="T25" s="1044"/>
      <c r="U25" s="1044"/>
      <c r="V25" s="1044"/>
      <c r="W25" s="1044"/>
      <c r="X25" s="1044"/>
      <c r="Y25" s="1044"/>
      <c r="Z25" s="1044"/>
      <c r="AA25" s="1044"/>
      <c r="AB25" s="1044"/>
      <c r="AC25" s="1044"/>
      <c r="AD25" s="1044"/>
      <c r="AE25" s="1044"/>
    </row>
    <row r="26" spans="1:31" s="1046" customFormat="1" ht="22.5">
      <c r="A26" s="1055" t="s">
        <v>1908</v>
      </c>
      <c r="B26" s="1056" t="s">
        <v>1917</v>
      </c>
      <c r="C26" s="1043"/>
      <c r="D26" s="1051"/>
      <c r="E26" s="1051"/>
      <c r="F26" s="1043"/>
      <c r="G26" s="1051"/>
      <c r="H26" s="1051"/>
      <c r="I26" s="1051"/>
      <c r="J26" s="1043"/>
      <c r="K26" s="1051"/>
      <c r="L26" s="1051"/>
      <c r="M26" s="1043"/>
      <c r="N26" s="1051"/>
      <c r="O26" s="1051"/>
      <c r="P26" s="1043"/>
      <c r="Q26" s="1043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</row>
    <row r="27" spans="1:31" s="1046" customFormat="1" ht="22.5">
      <c r="A27" s="1055" t="s">
        <v>1909</v>
      </c>
      <c r="B27" s="1056" t="s">
        <v>1918</v>
      </c>
      <c r="C27" s="1043"/>
      <c r="D27" s="1051"/>
      <c r="E27" s="1051"/>
      <c r="F27" s="1043"/>
      <c r="G27" s="1051"/>
      <c r="H27" s="1051"/>
      <c r="I27" s="1051"/>
      <c r="J27" s="1043"/>
      <c r="K27" s="1051"/>
      <c r="L27" s="1051"/>
      <c r="M27" s="1043"/>
      <c r="N27" s="1051"/>
      <c r="O27" s="1051"/>
      <c r="P27" s="1043"/>
      <c r="Q27" s="1043"/>
      <c r="R27" s="1044"/>
      <c r="S27" s="1044"/>
      <c r="T27" s="1044"/>
      <c r="U27" s="1044"/>
      <c r="V27" s="1044"/>
      <c r="W27" s="1044"/>
      <c r="X27" s="1044"/>
      <c r="Y27" s="1044"/>
      <c r="Z27" s="1044"/>
      <c r="AA27" s="1044"/>
      <c r="AB27" s="1044"/>
      <c r="AC27" s="1044"/>
      <c r="AD27" s="1044"/>
      <c r="AE27" s="1044"/>
    </row>
    <row r="28" spans="1:31" s="1046" customFormat="1">
      <c r="A28" s="1042" t="s">
        <v>68</v>
      </c>
      <c r="B28" s="1042" t="s">
        <v>69</v>
      </c>
      <c r="C28" s="1043">
        <f t="shared" si="11"/>
        <v>37021204.12273781</v>
      </c>
      <c r="D28" s="1043">
        <f>D30+D31+D29</f>
        <v>37021204.12273781</v>
      </c>
      <c r="E28" s="1043"/>
      <c r="F28" s="1043"/>
      <c r="G28" s="1043"/>
      <c r="H28" s="1043"/>
      <c r="I28" s="1043"/>
      <c r="J28" s="1043">
        <f>K28</f>
        <v>28684257</v>
      </c>
      <c r="K28" s="1043">
        <f>'ОУ 2015'!C15</f>
        <v>28684257</v>
      </c>
      <c r="L28" s="1043"/>
      <c r="M28" s="1043"/>
      <c r="N28" s="1043"/>
      <c r="O28" s="1043"/>
      <c r="P28" s="1043"/>
      <c r="Q28" s="1043">
        <f t="shared" si="12"/>
        <v>65705461.12273781</v>
      </c>
      <c r="R28" s="1044"/>
      <c r="S28" s="1044"/>
      <c r="T28" s="1044"/>
      <c r="U28" s="1044"/>
      <c r="V28" s="1044"/>
      <c r="W28" s="1044"/>
      <c r="X28" s="1044"/>
      <c r="Y28" s="1044"/>
      <c r="Z28" s="1044"/>
      <c r="AA28" s="1044"/>
      <c r="AB28" s="1044"/>
      <c r="AC28" s="1044"/>
      <c r="AD28" s="1044"/>
      <c r="AE28" s="1044"/>
    </row>
    <row r="29" spans="1:31" s="1046" customFormat="1">
      <c r="A29" s="1055" t="s">
        <v>1910</v>
      </c>
      <c r="B29" s="1056" t="s">
        <v>1911</v>
      </c>
      <c r="C29" s="1043"/>
      <c r="D29" s="1051"/>
      <c r="E29" s="1051"/>
      <c r="F29" s="1043"/>
      <c r="G29" s="1051"/>
      <c r="H29" s="1051"/>
      <c r="I29" s="1051"/>
      <c r="J29" s="1043"/>
      <c r="K29" s="1051"/>
      <c r="L29" s="1051"/>
      <c r="M29" s="1043"/>
      <c r="N29" s="1051"/>
      <c r="O29" s="1051"/>
      <c r="P29" s="1043"/>
      <c r="Q29" s="1043"/>
      <c r="R29" s="1044"/>
      <c r="S29" s="1044"/>
      <c r="T29" s="1044"/>
      <c r="U29" s="1044"/>
      <c r="V29" s="1044"/>
      <c r="W29" s="1044"/>
      <c r="X29" s="1044"/>
      <c r="Y29" s="1044"/>
      <c r="Z29" s="1044"/>
      <c r="AA29" s="1044"/>
      <c r="AB29" s="1044"/>
      <c r="AC29" s="1044"/>
      <c r="AD29" s="1044"/>
      <c r="AE29" s="1044"/>
    </row>
    <row r="30" spans="1:31" s="1054" customFormat="1">
      <c r="A30" s="1049" t="s">
        <v>70</v>
      </c>
      <c r="B30" s="1050" t="s">
        <v>71</v>
      </c>
      <c r="C30" s="1043">
        <f t="shared" si="11"/>
        <v>1347927.9</v>
      </c>
      <c r="D30" s="1051">
        <f>'КОМУ 2015'!E8</f>
        <v>1347927.9</v>
      </c>
      <c r="E30" s="1051"/>
      <c r="F30" s="1043"/>
      <c r="G30" s="1051"/>
      <c r="H30" s="1051"/>
      <c r="I30" s="1051"/>
      <c r="J30" s="1043"/>
      <c r="K30" s="1051"/>
      <c r="L30" s="1051"/>
      <c r="M30" s="1043"/>
      <c r="N30" s="1051"/>
      <c r="O30" s="1051"/>
      <c r="P30" s="1043"/>
      <c r="Q30" s="1043">
        <f t="shared" si="12"/>
        <v>1347927.9</v>
      </c>
      <c r="R30" s="1052"/>
      <c r="S30" s="1052"/>
      <c r="T30" s="1052"/>
      <c r="U30" s="1052"/>
      <c r="V30" s="1052"/>
      <c r="W30" s="1052"/>
      <c r="X30" s="1052"/>
      <c r="Y30" s="1052"/>
      <c r="Z30" s="1052"/>
      <c r="AA30" s="1052"/>
      <c r="AB30" s="1052"/>
      <c r="AC30" s="1052"/>
      <c r="AD30" s="1052"/>
      <c r="AE30" s="1052"/>
    </row>
    <row r="31" spans="1:31" s="1054" customFormat="1">
      <c r="A31" s="1049" t="s">
        <v>72</v>
      </c>
      <c r="B31" s="1050" t="s">
        <v>73</v>
      </c>
      <c r="C31" s="1043">
        <f t="shared" si="11"/>
        <v>35673276.222737812</v>
      </c>
      <c r="D31" s="1051">
        <f>'ДФ 2015'!H16+'ГБ 2015'!N195+'ГБ 2015'!N202+'ГБ 2015'!N237+'ГБ 2015'!N282+'039 2015'!M8+'ГБ 2015'!N210</f>
        <v>35673276.222737812</v>
      </c>
      <c r="E31" s="1051"/>
      <c r="F31" s="1043"/>
      <c r="G31" s="1051"/>
      <c r="H31" s="1051"/>
      <c r="I31" s="1051"/>
      <c r="J31" s="1043"/>
      <c r="K31" s="1051"/>
      <c r="L31" s="1051"/>
      <c r="M31" s="1043"/>
      <c r="N31" s="1051"/>
      <c r="O31" s="1051"/>
      <c r="P31" s="1043"/>
      <c r="Q31" s="1043">
        <f t="shared" si="12"/>
        <v>35673276.222737812</v>
      </c>
      <c r="R31" s="1052"/>
      <c r="S31" s="1052"/>
      <c r="T31" s="1052"/>
      <c r="U31" s="1052"/>
      <c r="V31" s="1052"/>
      <c r="W31" s="1052"/>
      <c r="X31" s="1052"/>
      <c r="Y31" s="1052"/>
      <c r="Z31" s="1052"/>
      <c r="AA31" s="1052"/>
      <c r="AB31" s="1052"/>
      <c r="AC31" s="1052"/>
      <c r="AD31" s="1052"/>
      <c r="AE31" s="1052"/>
    </row>
    <row r="32" spans="1:31" s="1046" customFormat="1" ht="22.5">
      <c r="A32" s="1042" t="s">
        <v>74</v>
      </c>
      <c r="B32" s="1042" t="s">
        <v>75</v>
      </c>
      <c r="C32" s="1043">
        <f t="shared" si="11"/>
        <v>59646239.185799994</v>
      </c>
      <c r="D32" s="1043">
        <f>D33+D37</f>
        <v>59646239.185799994</v>
      </c>
      <c r="E32" s="1043"/>
      <c r="F32" s="1043"/>
      <c r="G32" s="1043"/>
      <c r="H32" s="1043"/>
      <c r="I32" s="1043"/>
      <c r="J32" s="1043">
        <f t="shared" ref="J32" si="13">J33+J37</f>
        <v>260209500</v>
      </c>
      <c r="K32" s="1043"/>
      <c r="L32" s="1043"/>
      <c r="M32" s="1043"/>
      <c r="N32" s="1043"/>
      <c r="O32" s="1043"/>
      <c r="P32" s="1043"/>
      <c r="Q32" s="1043">
        <f t="shared" si="12"/>
        <v>319855739.18580002</v>
      </c>
      <c r="R32" s="1044"/>
      <c r="S32" s="1044"/>
      <c r="T32" s="1044"/>
      <c r="U32" s="1044"/>
      <c r="V32" s="1044"/>
      <c r="W32" s="1044"/>
      <c r="X32" s="1044"/>
      <c r="Y32" s="1044"/>
      <c r="Z32" s="1044"/>
      <c r="AA32" s="1044"/>
      <c r="AB32" s="1044"/>
      <c r="AC32" s="1044"/>
      <c r="AD32" s="1044"/>
      <c r="AE32" s="1044"/>
    </row>
    <row r="33" spans="1:31" s="1054" customFormat="1" ht="33.75">
      <c r="A33" s="1049" t="s">
        <v>76</v>
      </c>
      <c r="B33" s="1050" t="s">
        <v>77</v>
      </c>
      <c r="C33" s="1043">
        <f t="shared" si="11"/>
        <v>57953257.585799992</v>
      </c>
      <c r="D33" s="1051">
        <f>'ГБ 2015'!N146+'ГБ 2015'!N148+'ГБ 2015'!N150+'ГБ 2015'!N152+'ГБ 2015'!N160+'ГБ 2015'!N120+'ГБ 2015'!N122+'ГБ 2015'!N125+'ГБ 2015'!N128+'ГБ 2015'!N137+'ГБ 2015'!N167+'ГБ 2015'!N178+'ГБ 2015'!N182+'ГБ 2015'!N190+D34+D35+D36</f>
        <v>57953257.585799992</v>
      </c>
      <c r="E33" s="1051"/>
      <c r="F33" s="1043"/>
      <c r="G33" s="1051"/>
      <c r="H33" s="1051"/>
      <c r="I33" s="1051"/>
      <c r="J33" s="1043">
        <f>K33</f>
        <v>189350100</v>
      </c>
      <c r="K33" s="1051">
        <f>'Розница ЛС'!M26*1000</f>
        <v>189350100</v>
      </c>
      <c r="L33" s="1051"/>
      <c r="M33" s="1043"/>
      <c r="N33" s="1051"/>
      <c r="O33" s="1051"/>
      <c r="P33" s="1043"/>
      <c r="Q33" s="1043">
        <f t="shared" si="12"/>
        <v>247303357.58579999</v>
      </c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</row>
    <row r="34" spans="1:31" s="1054" customFormat="1" ht="22.5">
      <c r="A34" s="1060" t="s">
        <v>1912</v>
      </c>
      <c r="B34" s="1061" t="s">
        <v>1919</v>
      </c>
      <c r="C34" s="1043"/>
      <c r="D34" s="1059"/>
      <c r="E34" s="1059"/>
      <c r="F34" s="1043"/>
      <c r="G34" s="1059"/>
      <c r="H34" s="1059"/>
      <c r="I34" s="1059"/>
      <c r="J34" s="1043"/>
      <c r="K34" s="1059"/>
      <c r="L34" s="1059"/>
      <c r="M34" s="1043"/>
      <c r="N34" s="1059"/>
      <c r="O34" s="1059"/>
      <c r="P34" s="1043"/>
      <c r="Q34" s="1043"/>
      <c r="R34" s="1052"/>
      <c r="S34" s="1052"/>
      <c r="T34" s="1052"/>
      <c r="U34" s="1052"/>
      <c r="V34" s="1052"/>
      <c r="W34" s="1052"/>
      <c r="X34" s="1052"/>
      <c r="Y34" s="1052"/>
      <c r="Z34" s="1052"/>
      <c r="AA34" s="1052"/>
      <c r="AB34" s="1052"/>
      <c r="AC34" s="1052"/>
      <c r="AD34" s="1052"/>
      <c r="AE34" s="1052"/>
    </row>
    <row r="35" spans="1:31" s="1054" customFormat="1" ht="22.5">
      <c r="A35" s="1060" t="s">
        <v>1920</v>
      </c>
      <c r="B35" s="1061" t="s">
        <v>1921</v>
      </c>
      <c r="C35" s="1043"/>
      <c r="D35" s="1059"/>
      <c r="E35" s="1059"/>
      <c r="F35" s="1043"/>
      <c r="G35" s="1059"/>
      <c r="H35" s="1059"/>
      <c r="I35" s="1059"/>
      <c r="J35" s="1043"/>
      <c r="K35" s="1059"/>
      <c r="L35" s="1059"/>
      <c r="M35" s="1043"/>
      <c r="N35" s="1059"/>
      <c r="O35" s="1059"/>
      <c r="P35" s="1043"/>
      <c r="Q35" s="1043"/>
      <c r="R35" s="1052"/>
      <c r="S35" s="1052"/>
      <c r="T35" s="1052"/>
      <c r="U35" s="1052"/>
      <c r="V35" s="1052"/>
      <c r="W35" s="1052"/>
      <c r="X35" s="1052"/>
      <c r="Y35" s="1052"/>
      <c r="Z35" s="1052"/>
      <c r="AA35" s="1052"/>
      <c r="AB35" s="1052"/>
      <c r="AC35" s="1052"/>
      <c r="AD35" s="1052"/>
      <c r="AE35" s="1052"/>
    </row>
    <row r="36" spans="1:31" s="1054" customFormat="1" ht="22.5">
      <c r="A36" s="1060" t="s">
        <v>1922</v>
      </c>
      <c r="B36" s="1061" t="s">
        <v>1923</v>
      </c>
      <c r="C36" s="1043"/>
      <c r="D36" s="1059"/>
      <c r="E36" s="1059"/>
      <c r="F36" s="1043"/>
      <c r="G36" s="1059"/>
      <c r="H36" s="1059"/>
      <c r="I36" s="1059"/>
      <c r="J36" s="1043"/>
      <c r="K36" s="1059"/>
      <c r="L36" s="1059"/>
      <c r="M36" s="1043"/>
      <c r="N36" s="1059"/>
      <c r="O36" s="1059"/>
      <c r="P36" s="1043"/>
      <c r="Q36" s="1043"/>
      <c r="R36" s="1052"/>
      <c r="S36" s="1052"/>
      <c r="T36" s="1052"/>
      <c r="U36" s="1052"/>
      <c r="V36" s="1052"/>
      <c r="W36" s="1052"/>
      <c r="X36" s="1052"/>
      <c r="Y36" s="1052"/>
      <c r="Z36" s="1052"/>
      <c r="AA36" s="1052"/>
      <c r="AB36" s="1052"/>
      <c r="AC36" s="1052"/>
      <c r="AD36" s="1052"/>
      <c r="AE36" s="1052"/>
    </row>
    <row r="37" spans="1:31" s="1054" customFormat="1" ht="33.75">
      <c r="A37" s="1049" t="s">
        <v>78</v>
      </c>
      <c r="B37" s="1050" t="s">
        <v>79</v>
      </c>
      <c r="C37" s="1043">
        <f t="shared" si="11"/>
        <v>1692981.5999999999</v>
      </c>
      <c r="D37" s="1051">
        <f>'КОМУ 2015'!E9</f>
        <v>1692981.5999999999</v>
      </c>
      <c r="E37" s="1051"/>
      <c r="F37" s="1043"/>
      <c r="G37" s="1051"/>
      <c r="H37" s="1051"/>
      <c r="I37" s="1051"/>
      <c r="J37" s="1043">
        <f>K37</f>
        <v>70859400</v>
      </c>
      <c r="K37" s="1051">
        <f>'Розница ЛС'!M27*1000</f>
        <v>70859400</v>
      </c>
      <c r="L37" s="1051"/>
      <c r="M37" s="1043"/>
      <c r="N37" s="1051"/>
      <c r="O37" s="1051"/>
      <c r="P37" s="1043"/>
      <c r="Q37" s="1043">
        <f t="shared" si="12"/>
        <v>72552381.599999994</v>
      </c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1052"/>
      <c r="AD37" s="1052"/>
      <c r="AE37" s="1052"/>
    </row>
    <row r="38" spans="1:31" s="1046" customFormat="1">
      <c r="A38" s="1042" t="s">
        <v>80</v>
      </c>
      <c r="B38" s="1042" t="s">
        <v>81</v>
      </c>
      <c r="C38" s="1043">
        <f t="shared" si="11"/>
        <v>45564367.279660001</v>
      </c>
      <c r="D38" s="1043">
        <f>D39+D40+D41+D43+D42+D44</f>
        <v>45564367.279660001</v>
      </c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>
        <f t="shared" si="12"/>
        <v>45564367.279660001</v>
      </c>
      <c r="R38" s="1044"/>
      <c r="S38" s="1044"/>
      <c r="T38" s="1044"/>
      <c r="U38" s="1044"/>
      <c r="V38" s="1044"/>
      <c r="W38" s="1044"/>
      <c r="X38" s="1044"/>
      <c r="Y38" s="1044"/>
      <c r="Z38" s="1044"/>
      <c r="AA38" s="1044"/>
      <c r="AB38" s="1044"/>
      <c r="AC38" s="1044"/>
      <c r="AD38" s="1044"/>
      <c r="AE38" s="1044"/>
    </row>
    <row r="39" spans="1:31" s="1054" customFormat="1" ht="45">
      <c r="A39" s="1049" t="s">
        <v>82</v>
      </c>
      <c r="B39" s="1050" t="s">
        <v>83</v>
      </c>
      <c r="C39" s="1043">
        <f t="shared" si="11"/>
        <v>6917860.3056999994</v>
      </c>
      <c r="D39" s="1051">
        <f>'ДФ 2015'!H15+'ГБ 2015'!N93+'ГБ 2015'!N106+'ГБ 2015'!N96+'ГБ 2015'!N109+'ГБ 2015'!N231+'ГБ 2015'!N276</f>
        <v>6917860.3056999994</v>
      </c>
      <c r="E39" s="1051"/>
      <c r="F39" s="1043"/>
      <c r="G39" s="1051"/>
      <c r="H39" s="1051"/>
      <c r="I39" s="1051"/>
      <c r="J39" s="1043"/>
      <c r="K39" s="1051"/>
      <c r="L39" s="1051"/>
      <c r="M39" s="1043"/>
      <c r="N39" s="1051"/>
      <c r="O39" s="1051"/>
      <c r="P39" s="1043"/>
      <c r="Q39" s="1043">
        <f t="shared" si="12"/>
        <v>6917860.3056999994</v>
      </c>
      <c r="R39" s="1052"/>
      <c r="S39" s="1052"/>
      <c r="T39" s="1052"/>
      <c r="U39" s="1052"/>
      <c r="V39" s="1052"/>
      <c r="W39" s="1052"/>
      <c r="X39" s="1052"/>
      <c r="Y39" s="1052"/>
      <c r="Z39" s="1052"/>
      <c r="AA39" s="1052"/>
      <c r="AB39" s="1052"/>
      <c r="AC39" s="1052"/>
      <c r="AD39" s="1052"/>
      <c r="AE39" s="1052"/>
    </row>
    <row r="40" spans="1:31" s="1054" customFormat="1">
      <c r="A40" s="1049" t="s">
        <v>84</v>
      </c>
      <c r="B40" s="1050" t="s">
        <v>85</v>
      </c>
      <c r="C40" s="1043">
        <f t="shared" si="11"/>
        <v>19572678.6745</v>
      </c>
      <c r="D40" s="1051">
        <f>'ГБ 2015'!N157+'ГБ 2015'!N134</f>
        <v>19572678.6745</v>
      </c>
      <c r="E40" s="1051"/>
      <c r="F40" s="1043"/>
      <c r="G40" s="1051"/>
      <c r="H40" s="1051"/>
      <c r="I40" s="1051"/>
      <c r="J40" s="1043"/>
      <c r="K40" s="1051"/>
      <c r="L40" s="1051"/>
      <c r="M40" s="1043"/>
      <c r="N40" s="1051"/>
      <c r="O40" s="1051"/>
      <c r="P40" s="1043"/>
      <c r="Q40" s="1043">
        <f t="shared" si="12"/>
        <v>19572678.6745</v>
      </c>
      <c r="R40" s="1052"/>
      <c r="S40" s="1052"/>
      <c r="T40" s="1052"/>
      <c r="U40" s="1052"/>
      <c r="V40" s="1052"/>
      <c r="W40" s="1052"/>
      <c r="X40" s="1052"/>
      <c r="Y40" s="1052"/>
      <c r="Z40" s="1052"/>
      <c r="AA40" s="1052"/>
      <c r="AB40" s="1052"/>
      <c r="AC40" s="1052"/>
      <c r="AD40" s="1052"/>
      <c r="AE40" s="1052"/>
    </row>
    <row r="41" spans="1:31" s="1054" customFormat="1" ht="33.75">
      <c r="A41" s="1049" t="s">
        <v>1274</v>
      </c>
      <c r="B41" s="1050" t="s">
        <v>1275</v>
      </c>
      <c r="C41" s="1043">
        <f t="shared" si="11"/>
        <v>3956897.7944</v>
      </c>
      <c r="D41" s="1051">
        <f>'ГБ 2015'!N172+'ГБ 2015'!N185</f>
        <v>3956897.7944</v>
      </c>
      <c r="E41" s="1051"/>
      <c r="F41" s="1043"/>
      <c r="G41" s="1051"/>
      <c r="H41" s="1051"/>
      <c r="I41" s="1051"/>
      <c r="J41" s="1043"/>
      <c r="K41" s="1051"/>
      <c r="L41" s="1051"/>
      <c r="M41" s="1043"/>
      <c r="N41" s="1051"/>
      <c r="O41" s="1051"/>
      <c r="P41" s="1043"/>
      <c r="Q41" s="1043">
        <f t="shared" si="12"/>
        <v>3956897.7944</v>
      </c>
      <c r="R41" s="1052"/>
      <c r="S41" s="1052"/>
      <c r="T41" s="1052"/>
      <c r="U41" s="1052"/>
      <c r="V41" s="1052"/>
      <c r="W41" s="1052"/>
      <c r="X41" s="1052"/>
      <c r="Y41" s="1052"/>
      <c r="Z41" s="1052"/>
      <c r="AA41" s="1052"/>
      <c r="AB41" s="1052"/>
      <c r="AC41" s="1052"/>
      <c r="AD41" s="1052"/>
      <c r="AE41" s="1052"/>
    </row>
    <row r="42" spans="1:31" s="1054" customFormat="1" ht="22.5">
      <c r="A42" s="1055" t="s">
        <v>1874</v>
      </c>
      <c r="B42" s="1056" t="s">
        <v>1875</v>
      </c>
      <c r="C42" s="1043">
        <f t="shared" si="11"/>
        <v>3232710.3705000002</v>
      </c>
      <c r="D42" s="1051">
        <f>'ГБ 2015'!N103+'ГБ 2015'!N90</f>
        <v>3232710.3705000002</v>
      </c>
      <c r="E42" s="1051"/>
      <c r="F42" s="1043"/>
      <c r="G42" s="1051"/>
      <c r="H42" s="1051"/>
      <c r="I42" s="1051"/>
      <c r="J42" s="1043"/>
      <c r="K42" s="1051"/>
      <c r="L42" s="1051"/>
      <c r="M42" s="1043"/>
      <c r="N42" s="1051"/>
      <c r="O42" s="1051"/>
      <c r="P42" s="1043"/>
      <c r="Q42" s="1043">
        <f t="shared" si="12"/>
        <v>3232710.3705000002</v>
      </c>
      <c r="R42" s="1052"/>
      <c r="S42" s="1052"/>
      <c r="T42" s="1052"/>
      <c r="U42" s="1052"/>
      <c r="V42" s="1052"/>
      <c r="W42" s="1052"/>
      <c r="X42" s="1052"/>
      <c r="Y42" s="1052"/>
      <c r="Z42" s="1052"/>
      <c r="AA42" s="1052"/>
      <c r="AB42" s="1052"/>
      <c r="AC42" s="1052"/>
      <c r="AD42" s="1052"/>
      <c r="AE42" s="1052"/>
    </row>
    <row r="43" spans="1:31" s="1054" customFormat="1" ht="67.5">
      <c r="A43" s="1049" t="s">
        <v>86</v>
      </c>
      <c r="B43" s="1050" t="s">
        <v>87</v>
      </c>
      <c r="C43" s="1043">
        <f t="shared" si="11"/>
        <v>11884220.13456</v>
      </c>
      <c r="D43" s="1051">
        <f>'ДФ 2015'!H11+'ГБ 2015'!N113+'РБ 2015'!N39+'ГБ 2015'!N98+'ГБ 2015'!N111</f>
        <v>11884220.13456</v>
      </c>
      <c r="E43" s="1051"/>
      <c r="F43" s="1043"/>
      <c r="G43" s="1051"/>
      <c r="H43" s="1051"/>
      <c r="I43" s="1051"/>
      <c r="J43" s="1043"/>
      <c r="K43" s="1051"/>
      <c r="L43" s="1051"/>
      <c r="M43" s="1043"/>
      <c r="N43" s="1051"/>
      <c r="O43" s="1051"/>
      <c r="P43" s="1043"/>
      <c r="Q43" s="1043">
        <f t="shared" si="12"/>
        <v>11884220.13456</v>
      </c>
      <c r="R43" s="1052"/>
      <c r="S43" s="1052"/>
      <c r="T43" s="1052"/>
      <c r="U43" s="1052"/>
      <c r="V43" s="1052"/>
      <c r="W43" s="1052"/>
      <c r="X43" s="1052"/>
      <c r="Y43" s="1052"/>
      <c r="Z43" s="1052"/>
      <c r="AA43" s="1052"/>
      <c r="AB43" s="1052"/>
      <c r="AC43" s="1052"/>
      <c r="AD43" s="1052"/>
      <c r="AE43" s="1052"/>
    </row>
    <row r="44" spans="1:31" s="1054" customFormat="1" ht="45">
      <c r="A44" s="1055" t="s">
        <v>1924</v>
      </c>
      <c r="B44" s="1056" t="s">
        <v>1925</v>
      </c>
      <c r="C44" s="1043"/>
      <c r="D44" s="1051"/>
      <c r="E44" s="1051"/>
      <c r="F44" s="1043"/>
      <c r="G44" s="1051"/>
      <c r="H44" s="1051"/>
      <c r="I44" s="1051"/>
      <c r="J44" s="1043"/>
      <c r="K44" s="1051"/>
      <c r="L44" s="1051"/>
      <c r="M44" s="1043"/>
      <c r="N44" s="1051"/>
      <c r="O44" s="1051"/>
      <c r="P44" s="1043"/>
      <c r="Q44" s="1043"/>
      <c r="R44" s="1052"/>
      <c r="S44" s="1052"/>
      <c r="T44" s="1052"/>
      <c r="U44" s="1052"/>
      <c r="V44" s="1052"/>
      <c r="W44" s="1052"/>
      <c r="X44" s="1052"/>
      <c r="Y44" s="1052"/>
      <c r="Z44" s="1052"/>
      <c r="AA44" s="1052"/>
      <c r="AB44" s="1052"/>
      <c r="AC44" s="1052"/>
      <c r="AD44" s="1052"/>
      <c r="AE44" s="1052"/>
    </row>
    <row r="45" spans="1:31" s="1046" customFormat="1" ht="45">
      <c r="A45" s="1042" t="s">
        <v>88</v>
      </c>
      <c r="B45" s="1042" t="s">
        <v>89</v>
      </c>
      <c r="C45" s="1043">
        <f t="shared" si="11"/>
        <v>7677279.4342000009</v>
      </c>
      <c r="D45" s="1043">
        <f>D46+D47</f>
        <v>7677279.4342000009</v>
      </c>
      <c r="E45" s="1043"/>
      <c r="F45" s="1043">
        <f t="shared" ref="F45:F47" si="14">I45+G45+H45</f>
        <v>2707819</v>
      </c>
      <c r="G45" s="1043">
        <f>G46+G47</f>
        <v>2707819</v>
      </c>
      <c r="H45" s="1043"/>
      <c r="I45" s="1043"/>
      <c r="J45" s="1043"/>
      <c r="K45" s="1043"/>
      <c r="L45" s="1043"/>
      <c r="M45" s="1043"/>
      <c r="N45" s="1043"/>
      <c r="O45" s="1043"/>
      <c r="P45" s="1043"/>
      <c r="Q45" s="1043">
        <f t="shared" si="12"/>
        <v>10385098.4342</v>
      </c>
      <c r="R45" s="1044"/>
      <c r="S45" s="1045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</row>
    <row r="46" spans="1:31" s="1054" customFormat="1" ht="45">
      <c r="A46" s="1049" t="s">
        <v>90</v>
      </c>
      <c r="B46" s="1050" t="s">
        <v>89</v>
      </c>
      <c r="C46" s="1043">
        <f t="shared" si="11"/>
        <v>7677279.4342000009</v>
      </c>
      <c r="D46" s="1051">
        <f>'ГБ 2015'!N220+'ГБ 2015'!N228+'ГБ 2015'!N241+'ГБ 2015'!N273+'ГБ 2015'!N238+'ГБ 2015'!N283</f>
        <v>7677279.4342000009</v>
      </c>
      <c r="E46" s="1051"/>
      <c r="F46" s="1043"/>
      <c r="G46" s="1051"/>
      <c r="H46" s="1051"/>
      <c r="I46" s="1051"/>
      <c r="J46" s="1043"/>
      <c r="K46" s="1051"/>
      <c r="L46" s="1051"/>
      <c r="M46" s="1043"/>
      <c r="N46" s="1051"/>
      <c r="O46" s="1051"/>
      <c r="P46" s="1043"/>
      <c r="Q46" s="1043">
        <f t="shared" si="12"/>
        <v>7677279.4342000009</v>
      </c>
      <c r="R46" s="1052"/>
      <c r="S46" s="1052"/>
      <c r="T46" s="1052"/>
      <c r="U46" s="1052"/>
      <c r="V46" s="1052"/>
      <c r="W46" s="1052"/>
      <c r="X46" s="1052"/>
      <c r="Y46" s="1052"/>
      <c r="Z46" s="1052"/>
      <c r="AA46" s="1052"/>
      <c r="AB46" s="1052"/>
      <c r="AC46" s="1052"/>
      <c r="AD46" s="1052"/>
      <c r="AE46" s="1052"/>
    </row>
    <row r="47" spans="1:31" s="1054" customFormat="1" ht="33.75">
      <c r="A47" s="1049" t="s">
        <v>91</v>
      </c>
      <c r="B47" s="1050" t="s">
        <v>92</v>
      </c>
      <c r="C47" s="1043"/>
      <c r="D47" s="1051"/>
      <c r="E47" s="1051"/>
      <c r="F47" s="1043">
        <f t="shared" si="14"/>
        <v>2707819</v>
      </c>
      <c r="G47" s="1051">
        <f>'НБ прем.'!F30</f>
        <v>2707819</v>
      </c>
      <c r="H47" s="1051"/>
      <c r="I47" s="1051"/>
      <c r="J47" s="1043"/>
      <c r="K47" s="1051"/>
      <c r="L47" s="1051"/>
      <c r="M47" s="1043"/>
      <c r="N47" s="1051"/>
      <c r="O47" s="1051"/>
      <c r="P47" s="1043"/>
      <c r="Q47" s="1043">
        <f t="shared" si="12"/>
        <v>2707819</v>
      </c>
      <c r="R47" s="1052"/>
      <c r="S47" s="1052"/>
      <c r="T47" s="1052"/>
      <c r="U47" s="1052"/>
      <c r="V47" s="1052"/>
      <c r="W47" s="1052"/>
      <c r="X47" s="1052"/>
      <c r="Y47" s="1052"/>
      <c r="Z47" s="1052"/>
      <c r="AA47" s="1052"/>
      <c r="AB47" s="1052"/>
      <c r="AC47" s="1052"/>
      <c r="AD47" s="1052"/>
      <c r="AE47" s="1052"/>
    </row>
    <row r="48" spans="1:31" s="1046" customFormat="1">
      <c r="A48" s="1062" t="s">
        <v>1876</v>
      </c>
      <c r="B48" s="1062" t="s">
        <v>1877</v>
      </c>
      <c r="C48" s="1043">
        <f t="shared" si="11"/>
        <v>11930154.8013</v>
      </c>
      <c r="D48" s="1043">
        <f>'ГБ 2015'!N77+'ГБ 2015'!N78+'ГБ 2015'!N226+'ГБ 2015'!N225+'ГБ 2015'!N224+'ГБ 2015'!N223+'ГБ 2015'!N65+'ГБ 2015'!N80+'РБ 2015'!N41+'ГБ 2015'!N247+'ГБ 2015'!N248+'ГБ 2015'!N249+'ГБ 2015'!N250+'ГБ 2015'!N290</f>
        <v>11930154.8013</v>
      </c>
      <c r="E48" s="1043"/>
      <c r="F48" s="1043"/>
      <c r="G48" s="1043"/>
      <c r="H48" s="1043"/>
      <c r="I48" s="1043"/>
      <c r="J48" s="1043"/>
      <c r="K48" s="1043"/>
      <c r="L48" s="1043"/>
      <c r="M48" s="1043">
        <f t="shared" si="4"/>
        <v>2829095.06</v>
      </c>
      <c r="N48" s="1043"/>
      <c r="O48" s="1043">
        <f>'РБ 2015'!N57+Доноры!O15</f>
        <v>2829095.06</v>
      </c>
      <c r="P48" s="1043"/>
      <c r="Q48" s="1043">
        <f t="shared" si="12"/>
        <v>14759249.861300001</v>
      </c>
      <c r="R48" s="1044"/>
      <c r="S48" s="1044"/>
      <c r="T48" s="1044"/>
      <c r="U48" s="1044"/>
      <c r="V48" s="1044"/>
      <c r="W48" s="1044"/>
      <c r="X48" s="1044"/>
      <c r="Y48" s="1044"/>
      <c r="Z48" s="1044"/>
      <c r="AA48" s="1044"/>
      <c r="AB48" s="1044"/>
      <c r="AC48" s="1044"/>
      <c r="AD48" s="1044"/>
      <c r="AE48" s="1044"/>
    </row>
    <row r="49" spans="1:31" s="1046" customFormat="1" ht="17.25" customHeight="1">
      <c r="A49" s="1225" t="s">
        <v>46</v>
      </c>
      <c r="B49" s="1226"/>
      <c r="C49" s="1043">
        <f t="shared" si="11"/>
        <v>783000037.09326994</v>
      </c>
      <c r="D49" s="1043">
        <f>D5+D6+D23+D28+D32+D38+D45+D48</f>
        <v>783000037.09326994</v>
      </c>
      <c r="E49" s="1043"/>
      <c r="F49" s="1043">
        <f>F5+F6+F23+F28+F32+F38+F45+F48</f>
        <v>57824391</v>
      </c>
      <c r="G49" s="1043">
        <f>G5+G6+G23+G28+G32+G38+G45+G48</f>
        <v>20577506</v>
      </c>
      <c r="H49" s="1043"/>
      <c r="I49" s="1043">
        <f>I5+I6+I23+I28+I32+I38+I45+I48</f>
        <v>37246885</v>
      </c>
      <c r="J49" s="1043">
        <f>J5+J6+J23+J28+J32+J38+J45+J48</f>
        <v>398969089.39999998</v>
      </c>
      <c r="K49" s="1043"/>
      <c r="L49" s="1043"/>
      <c r="M49" s="1043">
        <f>O49</f>
        <v>4631429.0600000005</v>
      </c>
      <c r="N49" s="1043"/>
      <c r="O49" s="1043">
        <f>O5+O6+O23+O28+O32+O38+O45+O48</f>
        <v>4631429.0600000005</v>
      </c>
      <c r="P49" s="1043"/>
      <c r="Q49" s="1043">
        <f t="shared" si="12"/>
        <v>1244424946.5532699</v>
      </c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</row>
    <row r="50" spans="1:31">
      <c r="C50" s="1065"/>
      <c r="D50" s="1066"/>
      <c r="E50" s="1066"/>
      <c r="F50" s="1066"/>
      <c r="G50" s="1066"/>
      <c r="H50" s="1066"/>
      <c r="I50" s="1066"/>
      <c r="J50" s="1065"/>
      <c r="K50" s="1065"/>
      <c r="L50" s="1065"/>
      <c r="M50" s="1066"/>
      <c r="N50" s="1066"/>
      <c r="O50" s="1066"/>
      <c r="P50" s="1066"/>
      <c r="Q50" s="1067"/>
    </row>
    <row r="51" spans="1:31">
      <c r="Q51" s="1069"/>
      <c r="AD51" s="1030"/>
      <c r="AE51" s="1030"/>
    </row>
    <row r="53" spans="1:31">
      <c r="Q53" s="1069"/>
      <c r="AE53" s="1030"/>
    </row>
    <row r="54" spans="1:31">
      <c r="D54" s="1066"/>
      <c r="E54" s="1066"/>
      <c r="Q54" s="1071"/>
      <c r="AE54" s="1030"/>
    </row>
    <row r="55" spans="1:31">
      <c r="D55" s="1066"/>
      <c r="E55" s="1066"/>
      <c r="Q55" s="1069"/>
      <c r="AE55" s="1030"/>
    </row>
    <row r="56" spans="1:31">
      <c r="D56" s="1066"/>
      <c r="E56" s="1066"/>
      <c r="Q56" s="1071"/>
      <c r="AE56" s="1030"/>
    </row>
    <row r="57" spans="1:31">
      <c r="A57" s="1030"/>
      <c r="B57" s="1030"/>
      <c r="C57" s="1030"/>
      <c r="D57" s="1066"/>
      <c r="E57" s="1066"/>
      <c r="Q57" s="1072"/>
      <c r="AE57" s="1030"/>
    </row>
    <row r="58" spans="1:31">
      <c r="A58" s="1030"/>
      <c r="B58" s="1030"/>
      <c r="C58" s="1030"/>
      <c r="D58" s="1066"/>
      <c r="E58" s="1066"/>
      <c r="Q58" s="1071"/>
      <c r="S58" s="1073"/>
      <c r="AE58" s="1030"/>
    </row>
    <row r="59" spans="1:31">
      <c r="A59" s="1030"/>
      <c r="B59" s="1030"/>
      <c r="C59" s="1030"/>
      <c r="D59" s="1066"/>
      <c r="E59" s="1066"/>
      <c r="Q59" s="1029"/>
      <c r="AE59" s="1030"/>
    </row>
    <row r="60" spans="1:31">
      <c r="A60" s="1030"/>
      <c r="B60" s="1030"/>
      <c r="C60" s="1030"/>
      <c r="Q60" s="1029"/>
      <c r="AE60" s="1030"/>
    </row>
    <row r="61" spans="1:31">
      <c r="A61" s="1030"/>
      <c r="B61" s="1030"/>
      <c r="C61" s="1030"/>
      <c r="Q61" s="1029"/>
      <c r="AE61" s="1030"/>
    </row>
  </sheetData>
  <mergeCells count="7">
    <mergeCell ref="P1:P2"/>
    <mergeCell ref="Q1:Q3"/>
    <mergeCell ref="A49:B49"/>
    <mergeCell ref="A1:B3"/>
    <mergeCell ref="C1:E1"/>
    <mergeCell ref="F1:L1"/>
    <mergeCell ref="M1:O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zoomScale="120" zoomScaleNormal="120" workbookViewId="0">
      <selection activeCell="Q14" sqref="Q14"/>
    </sheetView>
  </sheetViews>
  <sheetFormatPr defaultColWidth="9.7109375" defaultRowHeight="11.25"/>
  <cols>
    <col min="1" max="1" width="8.140625" style="1107" customWidth="1"/>
    <col min="2" max="2" width="19.7109375" style="1108" customWidth="1"/>
    <col min="3" max="3" width="12.85546875" style="1107" customWidth="1"/>
    <col min="4" max="4" width="12.28515625" style="1107" customWidth="1"/>
    <col min="5" max="5" width="9.5703125" style="1107" customWidth="1"/>
    <col min="6" max="9" width="9.5703125" style="1110" customWidth="1"/>
    <col min="10" max="10" width="10.5703125" style="1110" customWidth="1"/>
    <col min="11" max="11" width="10.85546875" style="1110" customWidth="1"/>
    <col min="12" max="12" width="9.5703125" style="1110" customWidth="1"/>
    <col min="13" max="13" width="4.85546875" style="1110" customWidth="1"/>
    <col min="14" max="14" width="9.5703125" style="1110" customWidth="1"/>
    <col min="15" max="15" width="4.28515625" style="1110" customWidth="1"/>
    <col min="16" max="16" width="12.140625" style="1110" customWidth="1"/>
    <col min="17" max="16384" width="9.7109375" style="1030"/>
  </cols>
  <sheetData>
    <row r="1" spans="1:16" s="1074" customFormat="1">
      <c r="A1" s="1241"/>
      <c r="B1" s="1242"/>
      <c r="C1" s="1247" t="s">
        <v>222</v>
      </c>
      <c r="D1" s="1248"/>
      <c r="E1" s="1249"/>
      <c r="F1" s="1250" t="s">
        <v>223</v>
      </c>
      <c r="G1" s="1251"/>
      <c r="H1" s="1251"/>
      <c r="I1" s="1251"/>
      <c r="J1" s="1251"/>
      <c r="K1" s="1252"/>
      <c r="L1" s="1253" t="s">
        <v>224</v>
      </c>
      <c r="M1" s="1254"/>
      <c r="N1" s="1254"/>
      <c r="O1" s="1234" t="s">
        <v>1889</v>
      </c>
      <c r="P1" s="1236" t="s">
        <v>46</v>
      </c>
    </row>
    <row r="2" spans="1:16" s="1080" customFormat="1" ht="22.5">
      <c r="A2" s="1243"/>
      <c r="B2" s="1244"/>
      <c r="C2" s="1075" t="s">
        <v>14</v>
      </c>
      <c r="D2" s="1076" t="s">
        <v>16</v>
      </c>
      <c r="E2" s="1076" t="s">
        <v>1882</v>
      </c>
      <c r="F2" s="1077" t="s">
        <v>35</v>
      </c>
      <c r="G2" s="1078" t="s">
        <v>37</v>
      </c>
      <c r="H2" s="1078" t="s">
        <v>1884</v>
      </c>
      <c r="I2" s="1078" t="s">
        <v>39</v>
      </c>
      <c r="J2" s="1077" t="s">
        <v>41</v>
      </c>
      <c r="K2" s="1078" t="s">
        <v>1886</v>
      </c>
      <c r="L2" s="1077" t="s">
        <v>43</v>
      </c>
      <c r="M2" s="1078" t="s">
        <v>1888</v>
      </c>
      <c r="N2" s="1079" t="s">
        <v>45</v>
      </c>
      <c r="O2" s="1235"/>
      <c r="P2" s="1237"/>
    </row>
    <row r="3" spans="1:16" s="1080" customFormat="1" ht="112.5">
      <c r="A3" s="1245"/>
      <c r="B3" s="1246"/>
      <c r="C3" s="1081" t="s">
        <v>15</v>
      </c>
      <c r="D3" s="1082" t="s">
        <v>17</v>
      </c>
      <c r="E3" s="1083" t="s">
        <v>1883</v>
      </c>
      <c r="F3" s="1084" t="s">
        <v>36</v>
      </c>
      <c r="G3" s="1035" t="s">
        <v>38</v>
      </c>
      <c r="H3" s="1085" t="s">
        <v>1885</v>
      </c>
      <c r="I3" s="1035" t="s">
        <v>40</v>
      </c>
      <c r="J3" s="1084" t="s">
        <v>42</v>
      </c>
      <c r="K3" s="1033" t="s">
        <v>2653</v>
      </c>
      <c r="L3" s="1084" t="s">
        <v>44</v>
      </c>
      <c r="M3" s="1033" t="s">
        <v>1968</v>
      </c>
      <c r="N3" s="1035" t="s">
        <v>1970</v>
      </c>
      <c r="O3" s="1086" t="s">
        <v>1890</v>
      </c>
      <c r="P3" s="1238"/>
    </row>
    <row r="4" spans="1:16" s="1046" customFormat="1" ht="22.5">
      <c r="A4" s="1087" t="s">
        <v>94</v>
      </c>
      <c r="B4" s="1088" t="s">
        <v>154</v>
      </c>
      <c r="C4" s="1089">
        <f t="shared" ref="C4:C37" si="0">D4+E4</f>
        <v>360752133.95077425</v>
      </c>
      <c r="D4" s="1089">
        <f>D5+D6+D7</f>
        <v>360752133.95077425</v>
      </c>
      <c r="E4" s="1089"/>
      <c r="F4" s="1089">
        <f>F5+F6+F7</f>
        <v>14311641</v>
      </c>
      <c r="G4" s="1089"/>
      <c r="H4" s="1089"/>
      <c r="I4" s="1089">
        <f>I5+I6+I7</f>
        <v>14311641</v>
      </c>
      <c r="J4" s="1089">
        <f>K4</f>
        <v>45253378.799999997</v>
      </c>
      <c r="K4" s="1089">
        <f>'ОУ 2015'!G3+'ОУ 2015'!K10+'ОУ 2015'!K11+HPxHFnew!K7+K6+K5</f>
        <v>45253378.799999997</v>
      </c>
      <c r="L4" s="1089">
        <f t="shared" ref="L4:L5" si="1">N4+M4</f>
        <v>1802334</v>
      </c>
      <c r="M4" s="1089"/>
      <c r="N4" s="1089">
        <f>N5+N6+N7</f>
        <v>1802334</v>
      </c>
      <c r="O4" s="1089"/>
      <c r="P4" s="1089">
        <f t="shared" ref="P4:P9" si="2">C4+F4+J4+L4+O4</f>
        <v>422119487.75077426</v>
      </c>
    </row>
    <row r="5" spans="1:16" s="1054" customFormat="1" ht="22.5">
      <c r="A5" s="1090" t="s">
        <v>95</v>
      </c>
      <c r="B5" s="1091" t="s">
        <v>154</v>
      </c>
      <c r="C5" s="1092">
        <f t="shared" si="0"/>
        <v>194876726.01885667</v>
      </c>
      <c r="D5" s="1093">
        <f>'ДФ 2015'!H14+'ДФ 2015'!H13+'Мб 2015'!N22+'Мб 2015'!N35+'Мб 2015'!N63+'Мб 2015'!N87+'КОМУ 2015'!I5+'КОМУ 2015'!I6+'КОМУ 2015'!I7+'КОМУ 2015'!I8+'КОМУ 2015'!I9+'ДФ 2015'!H17+'ДФ 2015'!J30+'ГБ 2015'!N213+'ГБ 2015'!N54+'ГБ 2015'!N114+'Мб 2015'!N13+'Мб 2015'!N17+'009 2015'!L13+'КОМУ 2015'!J5+'КОМУ 2015'!J6+'КОМУ 2015'!J7+'КОМУ 2015'!J8+'КОМУ 2015'!J9+'КОМУ 2015'!K5+'КОМУ 2015'!K6+'КОМУ 2015'!K7+'КОМУ 2015'!K8+'КОМУ 2015'!K9+'ГБ 2015'!N67</f>
        <v>194876726.01885667</v>
      </c>
      <c r="E5" s="1093"/>
      <c r="F5" s="1092">
        <f>G5+I5</f>
        <v>14311641</v>
      </c>
      <c r="G5" s="1093"/>
      <c r="H5" s="1093"/>
      <c r="I5" s="1093">
        <f>'ОУ 2015'!D5</f>
        <v>14311641</v>
      </c>
      <c r="J5" s="1092">
        <f>K5</f>
        <v>2889969.8</v>
      </c>
      <c r="K5" s="1093">
        <f>ОДХnew!C14/1000+'ОУ 2015'!K6+'ОУ 2015'!K8</f>
        <v>2889969.8</v>
      </c>
      <c r="L5" s="1092">
        <f t="shared" si="1"/>
        <v>1802334</v>
      </c>
      <c r="M5" s="1093"/>
      <c r="N5" s="1093">
        <f>ФХД2!C18</f>
        <v>1802334</v>
      </c>
      <c r="O5" s="1089"/>
      <c r="P5" s="1089">
        <f t="shared" si="2"/>
        <v>213880670.81885669</v>
      </c>
    </row>
    <row r="6" spans="1:16" s="1054" customFormat="1" ht="56.25">
      <c r="A6" s="1090" t="s">
        <v>99</v>
      </c>
      <c r="B6" s="1091" t="s">
        <v>158</v>
      </c>
      <c r="C6" s="1092">
        <f t="shared" si="0"/>
        <v>17905770.29696054</v>
      </c>
      <c r="D6" s="1093">
        <f>'КОМУ 2015'!M5+'КОМУ 2015'!M6+'КОМУ 2015'!M7+'КОМУ 2015'!M8+'КОМУ 2015'!M9+'КОМУ 2015'!N5+'КОМУ 2015'!N6+'КОМУ 2015'!N7+'КОМУ 2015'!N8+'КОМУ 2015'!N9+'ДФ 2015'!H10+'009 2015'!L15+'009 2015'!L14</f>
        <v>17905770.29696054</v>
      </c>
      <c r="E6" s="1093"/>
      <c r="F6" s="1092"/>
      <c r="G6" s="1093"/>
      <c r="H6" s="1093"/>
      <c r="I6" s="1093"/>
      <c r="J6" s="1092">
        <f t="shared" ref="J6:J7" si="3">K6</f>
        <v>0</v>
      </c>
      <c r="K6" s="1093"/>
      <c r="L6" s="1092"/>
      <c r="M6" s="1093"/>
      <c r="N6" s="1093"/>
      <c r="O6" s="1089"/>
      <c r="P6" s="1089">
        <f t="shared" si="2"/>
        <v>17905770.29696054</v>
      </c>
    </row>
    <row r="7" spans="1:16" s="1054" customFormat="1" ht="67.5">
      <c r="A7" s="1090" t="s">
        <v>102</v>
      </c>
      <c r="B7" s="1091" t="s">
        <v>161</v>
      </c>
      <c r="C7" s="1092">
        <f t="shared" si="0"/>
        <v>147969637.63495705</v>
      </c>
      <c r="D7" s="1093">
        <f>'КОМУ 2015'!Q5+'КОМУ 2015'!Q6+'КОМУ 2015'!Q7+'КОМУ 2015'!Q8+'КОМУ 2015'!Q9+'КОМУ 2015'!R5+'КОМУ 2015'!R6+'КОМУ 2015'!R7+'КОМУ 2015'!R8+'КОМУ 2015'!R9+'ДФ 2015'!H9+'КОМУ 2015'!U5+'КОМУ 2015'!U6+'КОМУ 2015'!U7+'КОМУ 2015'!U8+'КОМУ 2015'!U9+'КОМУ 2015'!V5+'КОМУ 2015'!V6+'КОМУ 2015'!V7+'КОМУ 2015'!V8+'КОМУ 2015'!V9+'ДФ 2015'!H18+'КОМУ 2015'!X5+'КОМУ 2015'!X6+'КОМУ 2015'!X7+'КОМУ 2015'!X8+'КОМУ 2015'!X9+'КОМУ 2015'!Y5+'КОМУ 2015'!Y6+'КОМУ 2015'!Y7+'КОМУ 2015'!Y8+'КОМУ 2015'!Y9+'КОМУ 2015'!AA5+'КОМУ 2015'!AA6+'КОМУ 2015'!AA7+'КОМУ 2015'!AA8+'КОМУ 2015'!AA9+'039 2015'!M9+'009 2015'!L19+'009 2015'!L16+'009 2015'!L18+'Мб 2015'!N94+'Мб 2015'!N71+'009 2015'!L17</f>
        <v>147969637.63495705</v>
      </c>
      <c r="E7" s="1093"/>
      <c r="F7" s="1092"/>
      <c r="G7" s="1093"/>
      <c r="H7" s="1093"/>
      <c r="I7" s="1093"/>
      <c r="J7" s="1092">
        <f t="shared" si="3"/>
        <v>153973</v>
      </c>
      <c r="K7" s="1093">
        <f>'ОУ 2015'!K7</f>
        <v>153973</v>
      </c>
      <c r="L7" s="1092"/>
      <c r="M7" s="1093"/>
      <c r="N7" s="1093"/>
      <c r="O7" s="1089"/>
      <c r="P7" s="1089">
        <f t="shared" si="2"/>
        <v>148123610.63495705</v>
      </c>
    </row>
    <row r="8" spans="1:16" s="1046" customFormat="1" ht="22.5">
      <c r="A8" s="1087" t="s">
        <v>115</v>
      </c>
      <c r="B8" s="1087" t="s">
        <v>174</v>
      </c>
      <c r="C8" s="1089">
        <f t="shared" si="0"/>
        <v>3501890.3625000003</v>
      </c>
      <c r="D8" s="1089">
        <f>D9+D11+D10</f>
        <v>3501890.3625000003</v>
      </c>
      <c r="E8" s="1089"/>
      <c r="F8" s="1089"/>
      <c r="G8" s="1089"/>
      <c r="H8" s="1089"/>
      <c r="I8" s="1089"/>
      <c r="J8" s="1089"/>
      <c r="K8" s="1089"/>
      <c r="L8" s="1089"/>
      <c r="M8" s="1089"/>
      <c r="N8" s="1089"/>
      <c r="O8" s="1089"/>
      <c r="P8" s="1089">
        <f t="shared" si="2"/>
        <v>3501890.3625000003</v>
      </c>
    </row>
    <row r="9" spans="1:16" s="1054" customFormat="1" ht="22.5">
      <c r="A9" s="1090" t="s">
        <v>116</v>
      </c>
      <c r="B9" s="1094" t="s">
        <v>175</v>
      </c>
      <c r="C9" s="1089">
        <f t="shared" si="0"/>
        <v>269179.99199999997</v>
      </c>
      <c r="D9" s="1095">
        <f>'ГБ 2015'!V76</f>
        <v>269179.99199999997</v>
      </c>
      <c r="E9" s="1095"/>
      <c r="F9" s="1089"/>
      <c r="G9" s="1095"/>
      <c r="H9" s="1095"/>
      <c r="I9" s="1095"/>
      <c r="J9" s="1089"/>
      <c r="K9" s="1095"/>
      <c r="L9" s="1089"/>
      <c r="M9" s="1095"/>
      <c r="N9" s="1095"/>
      <c r="O9" s="1089"/>
      <c r="P9" s="1089">
        <f t="shared" si="2"/>
        <v>269179.99199999997</v>
      </c>
    </row>
    <row r="10" spans="1:16" s="1054" customFormat="1" ht="33.75">
      <c r="A10" s="1096" t="s">
        <v>1927</v>
      </c>
      <c r="B10" s="1097" t="s">
        <v>1928</v>
      </c>
      <c r="C10" s="1089"/>
      <c r="D10" s="1095"/>
      <c r="E10" s="1095"/>
      <c r="F10" s="1089"/>
      <c r="G10" s="1095"/>
      <c r="H10" s="1095"/>
      <c r="I10" s="1095"/>
      <c r="J10" s="1089"/>
      <c r="K10" s="1095"/>
      <c r="L10" s="1089"/>
      <c r="M10" s="1095"/>
      <c r="N10" s="1095"/>
      <c r="O10" s="1089"/>
      <c r="P10" s="1089"/>
    </row>
    <row r="11" spans="1:16" s="1054" customFormat="1" ht="22.5">
      <c r="A11" s="1090" t="s">
        <v>118</v>
      </c>
      <c r="B11" s="1091" t="s">
        <v>177</v>
      </c>
      <c r="C11" s="1089">
        <f t="shared" si="0"/>
        <v>3232710.3705000002</v>
      </c>
      <c r="D11" s="1095">
        <f>'ГБ 2015'!N90+'ГБ 2015'!N103</f>
        <v>3232710.3705000002</v>
      </c>
      <c r="E11" s="1095"/>
      <c r="F11" s="1089"/>
      <c r="G11" s="1095"/>
      <c r="H11" s="1095"/>
      <c r="I11" s="1095"/>
      <c r="J11" s="1089"/>
      <c r="K11" s="1095"/>
      <c r="L11" s="1089"/>
      <c r="M11" s="1095"/>
      <c r="N11" s="1095"/>
      <c r="O11" s="1089"/>
      <c r="P11" s="1089">
        <f t="shared" ref="P11:P16" si="4">C11+F11+J11+L11+O11</f>
        <v>3232710.3705000002</v>
      </c>
    </row>
    <row r="12" spans="1:16" s="1046" customFormat="1" ht="33.75">
      <c r="A12" s="1098" t="s">
        <v>209</v>
      </c>
      <c r="B12" s="1087" t="s">
        <v>179</v>
      </c>
      <c r="C12" s="1089">
        <f t="shared" si="0"/>
        <v>257140819.63760793</v>
      </c>
      <c r="D12" s="1089">
        <f>D13+D14+D15+D16+D17</f>
        <v>257140819.63760793</v>
      </c>
      <c r="E12" s="1089"/>
      <c r="F12" s="1089">
        <f t="shared" ref="F12:F15" si="5">G12+I12</f>
        <v>26717762</v>
      </c>
      <c r="G12" s="1089">
        <f>G13+G14+G15+G16+'НБ прем.'!D30+G17</f>
        <v>17869687</v>
      </c>
      <c r="H12" s="1089"/>
      <c r="I12" s="1089">
        <f>I13+I14+I15+I16-'НБ прем.'!D30+I17</f>
        <v>8848075</v>
      </c>
      <c r="J12" s="1089">
        <f>K12</f>
        <v>45892251</v>
      </c>
      <c r="K12" s="1089">
        <f>K13+K14+K15+K16+K17</f>
        <v>45892251</v>
      </c>
      <c r="L12" s="1089"/>
      <c r="M12" s="1089"/>
      <c r="N12" s="1089"/>
      <c r="O12" s="1089"/>
      <c r="P12" s="1089">
        <f t="shared" si="4"/>
        <v>329750832.63760793</v>
      </c>
    </row>
    <row r="13" spans="1:16" s="1054" customFormat="1">
      <c r="A13" s="1090" t="s">
        <v>121</v>
      </c>
      <c r="B13" s="1091" t="s">
        <v>180</v>
      </c>
      <c r="C13" s="1092">
        <f t="shared" si="0"/>
        <v>226332692.54702759</v>
      </c>
      <c r="D13" s="1093">
        <f>'КОМУ 2015'!AF5+'КОМУ 2015'!AF6+'КОМУ 2015'!AF7+'КОМУ 2015'!AF8+'КОМУ 2015'!AF9+'039 2015'!M6</f>
        <v>226332692.54702759</v>
      </c>
      <c r="E13" s="1093"/>
      <c r="F13" s="1092">
        <f t="shared" si="5"/>
        <v>18879715</v>
      </c>
      <c r="G13" s="1093"/>
      <c r="H13" s="1093"/>
      <c r="I13" s="1093">
        <f>'ОУ 2015'!D12</f>
        <v>18879715</v>
      </c>
      <c r="J13" s="1089">
        <f t="shared" ref="J13:J17" si="6">K13</f>
        <v>20039656</v>
      </c>
      <c r="K13" s="1095">
        <f>'ОУ 2015'!H3+'ОУ 2015'!K12</f>
        <v>20039656</v>
      </c>
      <c r="L13" s="1089"/>
      <c r="M13" s="1095"/>
      <c r="N13" s="1095"/>
      <c r="O13" s="1089"/>
      <c r="P13" s="1089">
        <f t="shared" si="4"/>
        <v>265252063.54702759</v>
      </c>
    </row>
    <row r="14" spans="1:16" s="1054" customFormat="1" ht="22.5">
      <c r="A14" s="1090" t="s">
        <v>123</v>
      </c>
      <c r="B14" s="1091" t="s">
        <v>182</v>
      </c>
      <c r="C14" s="1092"/>
      <c r="D14" s="1093"/>
      <c r="E14" s="1093"/>
      <c r="F14" s="1092">
        <f t="shared" si="5"/>
        <v>2608225</v>
      </c>
      <c r="G14" s="1093"/>
      <c r="H14" s="1093"/>
      <c r="I14" s="1093">
        <f>'ОУ 2015'!D14</f>
        <v>2608225</v>
      </c>
      <c r="J14" s="1089">
        <f t="shared" si="6"/>
        <v>14590712</v>
      </c>
      <c r="K14" s="1095">
        <f>'ОУ 2015'!J3+'ОУ 2015'!K14</f>
        <v>14590712</v>
      </c>
      <c r="L14" s="1089"/>
      <c r="M14" s="1095"/>
      <c r="N14" s="1095"/>
      <c r="O14" s="1089"/>
      <c r="P14" s="1089">
        <f t="shared" si="4"/>
        <v>17198937</v>
      </c>
    </row>
    <row r="15" spans="1:16" s="1054" customFormat="1" ht="22.5">
      <c r="A15" s="1090" t="s">
        <v>124</v>
      </c>
      <c r="B15" s="1091" t="s">
        <v>183</v>
      </c>
      <c r="C15" s="1092">
        <f t="shared" si="0"/>
        <v>27625317.990580354</v>
      </c>
      <c r="D15" s="1093">
        <f>'039 2015'!M7</f>
        <v>27625317.990580354</v>
      </c>
      <c r="E15" s="1093"/>
      <c r="F15" s="1092">
        <f t="shared" si="5"/>
        <v>5229822</v>
      </c>
      <c r="G15" s="1093"/>
      <c r="H15" s="1093"/>
      <c r="I15" s="1093">
        <f>'ОУ 2015'!D13</f>
        <v>5229822</v>
      </c>
      <c r="J15" s="1089">
        <f t="shared" si="6"/>
        <v>0</v>
      </c>
      <c r="K15" s="1095"/>
      <c r="L15" s="1089"/>
      <c r="M15" s="1095"/>
      <c r="N15" s="1095"/>
      <c r="O15" s="1089"/>
      <c r="P15" s="1089">
        <f t="shared" si="4"/>
        <v>32855139.990580354</v>
      </c>
    </row>
    <row r="16" spans="1:16" s="1054" customFormat="1" ht="22.5">
      <c r="A16" s="1090" t="s">
        <v>125</v>
      </c>
      <c r="B16" s="1091" t="s">
        <v>184</v>
      </c>
      <c r="C16" s="1092">
        <f t="shared" si="0"/>
        <v>3182809.1000000006</v>
      </c>
      <c r="D16" s="1093">
        <f>'КОМУ 2015'!AL5+'КОМУ 2015'!AL6+'КОМУ 2015'!AL7+'КОМУ 2015'!AL8+'КОМУ 2015'!AL9+'КОМУ 2015'!AM5+'КОМУ 2015'!AM6+'КОМУ 2015'!AM7+'КОМУ 2015'!AM8+'КОМУ 2015'!AM9+'КОМУ 2015'!AQ7+'КОМУ 2015'!AO5+'КОМУ 2015'!AO6+'КОМУ 2015'!AO7+'КОМУ 2015'!AO8+'КОМУ 2015'!AO9</f>
        <v>3182809.1000000006</v>
      </c>
      <c r="E16" s="1093"/>
      <c r="F16" s="1092"/>
      <c r="G16" s="1093"/>
      <c r="H16" s="1093"/>
      <c r="I16" s="1093"/>
      <c r="J16" s="1089">
        <f t="shared" si="6"/>
        <v>11261883</v>
      </c>
      <c r="K16" s="1095">
        <f>'ОУ 2015'!I3+'ОУ 2015'!K13+'ОУ 2015'!C23</f>
        <v>11261883</v>
      </c>
      <c r="L16" s="1089"/>
      <c r="M16" s="1095"/>
      <c r="N16" s="1095"/>
      <c r="O16" s="1089"/>
      <c r="P16" s="1089">
        <f t="shared" si="4"/>
        <v>14444692.100000001</v>
      </c>
    </row>
    <row r="17" spans="1:16" s="1054" customFormat="1" ht="22.5">
      <c r="A17" s="1096" t="s">
        <v>1929</v>
      </c>
      <c r="B17" s="1099" t="s">
        <v>1930</v>
      </c>
      <c r="C17" s="1089"/>
      <c r="D17" s="1095"/>
      <c r="E17" s="1095"/>
      <c r="F17" s="1089"/>
      <c r="G17" s="1095"/>
      <c r="H17" s="1095"/>
      <c r="I17" s="1095"/>
      <c r="J17" s="1089">
        <f t="shared" si="6"/>
        <v>0</v>
      </c>
      <c r="K17" s="1095"/>
      <c r="L17" s="1089"/>
      <c r="M17" s="1095"/>
      <c r="N17" s="1095"/>
      <c r="O17" s="1089"/>
      <c r="P17" s="1089"/>
    </row>
    <row r="18" spans="1:16" s="1046" customFormat="1" ht="33.75">
      <c r="A18" s="1087" t="s">
        <v>132</v>
      </c>
      <c r="B18" s="1088" t="s">
        <v>191</v>
      </c>
      <c r="C18" s="1089">
        <f t="shared" si="0"/>
        <v>35673276.222737812</v>
      </c>
      <c r="D18" s="1089">
        <f t="shared" ref="D18" si="7">D19+D20+D21</f>
        <v>35673276.222737812</v>
      </c>
      <c r="E18" s="1089"/>
      <c r="F18" s="1089"/>
      <c r="G18" s="1089"/>
      <c r="H18" s="1089"/>
      <c r="I18" s="1089"/>
      <c r="J18" s="1089">
        <f>K18</f>
        <v>47613959.600000001</v>
      </c>
      <c r="K18" s="1089">
        <f>K19+K20+K21+'ОУ 2015'!K15</f>
        <v>47613959.600000001</v>
      </c>
      <c r="L18" s="1089"/>
      <c r="M18" s="1089"/>
      <c r="N18" s="1089"/>
      <c r="O18" s="1089"/>
      <c r="P18" s="1089">
        <f>C18+F18+J18+L18+O18</f>
        <v>83287235.822737813</v>
      </c>
    </row>
    <row r="19" spans="1:16" s="1054" customFormat="1" ht="67.5">
      <c r="A19" s="1090" t="s">
        <v>133</v>
      </c>
      <c r="B19" s="1091" t="s">
        <v>192</v>
      </c>
      <c r="C19" s="1089">
        <f t="shared" si="0"/>
        <v>35673276.222737812</v>
      </c>
      <c r="D19" s="1095">
        <f>'ДФ 2015'!H16+'Мб 2015'!N134+'Мб 2015'!N127+'Мб 2015'!N154+'Мб 2015'!N199+'039 2015'!M8+'ГБ 2015'!N210</f>
        <v>35673276.222737812</v>
      </c>
      <c r="E19" s="1095"/>
      <c r="F19" s="1089"/>
      <c r="G19" s="1095"/>
      <c r="H19" s="1095"/>
      <c r="I19" s="1095"/>
      <c r="J19" s="1089">
        <f t="shared" ref="J19:J21" si="8">K19</f>
        <v>0</v>
      </c>
      <c r="K19" s="1095"/>
      <c r="L19" s="1089"/>
      <c r="M19" s="1095"/>
      <c r="N19" s="1095"/>
      <c r="O19" s="1089"/>
      <c r="P19" s="1089">
        <f>C19+F19+J19+L19+O19</f>
        <v>35673276.222737812</v>
      </c>
    </row>
    <row r="20" spans="1:16" s="1054" customFormat="1" ht="33.75">
      <c r="A20" s="1096" t="s">
        <v>1931</v>
      </c>
      <c r="B20" s="1099" t="s">
        <v>1932</v>
      </c>
      <c r="C20" s="1089"/>
      <c r="D20" s="1095"/>
      <c r="E20" s="1095"/>
      <c r="F20" s="1089"/>
      <c r="G20" s="1095"/>
      <c r="H20" s="1095"/>
      <c r="I20" s="1095"/>
      <c r="J20" s="1089">
        <f t="shared" si="8"/>
        <v>0</v>
      </c>
      <c r="K20" s="1095"/>
      <c r="L20" s="1089"/>
      <c r="M20" s="1095"/>
      <c r="N20" s="1095"/>
      <c r="O20" s="1089"/>
      <c r="P20" s="1089"/>
    </row>
    <row r="21" spans="1:16" s="1054" customFormat="1" ht="22.5">
      <c r="A21" s="1096" t="s">
        <v>1940</v>
      </c>
      <c r="B21" s="1099" t="s">
        <v>1941</v>
      </c>
      <c r="C21" s="1089"/>
      <c r="D21" s="1095"/>
      <c r="E21" s="1095"/>
      <c r="F21" s="1089"/>
      <c r="G21" s="1095"/>
      <c r="H21" s="1095"/>
      <c r="I21" s="1095"/>
      <c r="J21" s="1089">
        <f t="shared" si="8"/>
        <v>22259820.600000001</v>
      </c>
      <c r="K21" s="1095">
        <f>ОДХnew!C12/1000</f>
        <v>22259820.600000001</v>
      </c>
      <c r="L21" s="1089"/>
      <c r="M21" s="1095"/>
      <c r="N21" s="1095"/>
      <c r="O21" s="1089"/>
      <c r="P21" s="1089"/>
    </row>
    <row r="22" spans="1:16" s="1046" customFormat="1" ht="33.75">
      <c r="A22" s="1087" t="s">
        <v>135</v>
      </c>
      <c r="B22" s="1088" t="s">
        <v>194</v>
      </c>
      <c r="C22" s="1089">
        <f t="shared" si="0"/>
        <v>57953257.585799992</v>
      </c>
      <c r="D22" s="1089">
        <f>D23+D24+D25</f>
        <v>57953257.585799992</v>
      </c>
      <c r="E22" s="1089"/>
      <c r="F22" s="1089"/>
      <c r="G22" s="1089"/>
      <c r="H22" s="1089"/>
      <c r="I22" s="1089"/>
      <c r="J22" s="1089">
        <f>K22</f>
        <v>260209500</v>
      </c>
      <c r="K22" s="1089">
        <f>K23+K24+K25</f>
        <v>260209500</v>
      </c>
      <c r="L22" s="1089"/>
      <c r="M22" s="1089"/>
      <c r="N22" s="1089"/>
      <c r="O22" s="1089"/>
      <c r="P22" s="1089">
        <f t="shared" ref="P22:P28" si="9">C22+F22+J22+L22+O22</f>
        <v>318162757.58579999</v>
      </c>
    </row>
    <row r="23" spans="1:16" s="1054" customFormat="1">
      <c r="A23" s="1090" t="s">
        <v>136</v>
      </c>
      <c r="B23" s="1091" t="s">
        <v>195</v>
      </c>
      <c r="C23" s="1089">
        <f t="shared" si="0"/>
        <v>57953257.585799992</v>
      </c>
      <c r="D23" s="1095">
        <f>'Мб 2015'!N78+'Мб 2015'!N80+'Мб 2015'!N82+'Мб 2015'!N84+'Мб 2015'!N92+'Мб 2015'!N69+'Мб 2015'!N60+'Мб 2015'!N57+'Мб 2015'!N54+'Мб 2015'!N52+'Мб 2015'!N99+'Мб 2015'!N114+'Мб 2015'!N122+'Мб 2015'!N110</f>
        <v>57953257.585799992</v>
      </c>
      <c r="E23" s="1095"/>
      <c r="F23" s="1089"/>
      <c r="G23" s="1095"/>
      <c r="H23" s="1095"/>
      <c r="I23" s="1095"/>
      <c r="J23" s="1089">
        <f t="shared" ref="J23:J25" si="10">K23</f>
        <v>189350100</v>
      </c>
      <c r="K23" s="1095">
        <f>'Розница ЛС'!M26*1000</f>
        <v>189350100</v>
      </c>
      <c r="L23" s="1089"/>
      <c r="M23" s="1095"/>
      <c r="N23" s="1095"/>
      <c r="O23" s="1089"/>
      <c r="P23" s="1089">
        <f t="shared" si="9"/>
        <v>247303357.58579999</v>
      </c>
    </row>
    <row r="24" spans="1:16" s="1054" customFormat="1" ht="67.5">
      <c r="A24" s="1090" t="s">
        <v>137</v>
      </c>
      <c r="B24" s="1091" t="s">
        <v>196</v>
      </c>
      <c r="C24" s="1089"/>
      <c r="D24" s="1095"/>
      <c r="E24" s="1095"/>
      <c r="F24" s="1089"/>
      <c r="G24" s="1095"/>
      <c r="H24" s="1095"/>
      <c r="I24" s="1095"/>
      <c r="J24" s="1089">
        <f t="shared" si="10"/>
        <v>70859400</v>
      </c>
      <c r="K24" s="1095">
        <f>'Розница ЛС'!M27*1000</f>
        <v>70859400</v>
      </c>
      <c r="L24" s="1089"/>
      <c r="M24" s="1095"/>
      <c r="N24" s="1095"/>
      <c r="O24" s="1089"/>
      <c r="P24" s="1089">
        <f t="shared" si="9"/>
        <v>70859400</v>
      </c>
    </row>
    <row r="25" spans="1:16" s="1054" customFormat="1" ht="78.75">
      <c r="A25" s="1090" t="s">
        <v>1880</v>
      </c>
      <c r="B25" s="1100" t="s">
        <v>1881</v>
      </c>
      <c r="C25" s="1089"/>
      <c r="D25" s="1095"/>
      <c r="E25" s="1095"/>
      <c r="F25" s="1089"/>
      <c r="G25" s="1095"/>
      <c r="H25" s="1095"/>
      <c r="I25" s="1095"/>
      <c r="J25" s="1089">
        <f t="shared" si="10"/>
        <v>0</v>
      </c>
      <c r="K25" s="1095"/>
      <c r="L25" s="1089"/>
      <c r="M25" s="1095"/>
      <c r="N25" s="1095"/>
      <c r="O25" s="1089"/>
      <c r="P25" s="1089">
        <f t="shared" si="9"/>
        <v>0</v>
      </c>
    </row>
    <row r="26" spans="1:16" s="1046" customFormat="1" ht="33.75">
      <c r="A26" s="1087" t="s">
        <v>139</v>
      </c>
      <c r="B26" s="1088" t="s">
        <v>197</v>
      </c>
      <c r="C26" s="1089">
        <f t="shared" si="0"/>
        <v>42606125.909160003</v>
      </c>
      <c r="D26" s="1089">
        <f>'ДФ 2015'!H15+'ДФ 2015'!H11+'ГБ 2015'!N113+'ГБ 2015'!N85+'ГБ 2015'!N84+'Мб 2015'!N28+'Мб 2015'!N31+'Мб 2015'!N41+'Мб 2015'!N44+'Мб 2015'!N46+'Мб 2015'!N33+'Мб 2015'!N66+'Мб 2015'!N89+'Мб 2015'!N104+'Мб 2015'!N117+'Мб 2015'!N148+'Мб 2015'!N193</f>
        <v>42606125.909160003</v>
      </c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>
        <f t="shared" si="9"/>
        <v>42606125.909160003</v>
      </c>
    </row>
    <row r="27" spans="1:16" s="1046" customFormat="1" ht="22.5">
      <c r="A27" s="1087" t="s">
        <v>140</v>
      </c>
      <c r="B27" s="1088" t="s">
        <v>198</v>
      </c>
      <c r="C27" s="1089">
        <f t="shared" si="0"/>
        <v>1766619.2233</v>
      </c>
      <c r="D27" s="1089">
        <f>D28+D29+D30+D31</f>
        <v>1766619.2233</v>
      </c>
      <c r="E27" s="1089"/>
      <c r="F27" s="1089">
        <f>I27+G27</f>
        <v>2707819</v>
      </c>
      <c r="G27" s="1089">
        <f t="shared" ref="G27" si="11">G28+G29+G30+G31</f>
        <v>2707819</v>
      </c>
      <c r="H27" s="1089"/>
      <c r="I27" s="1089"/>
      <c r="J27" s="1089"/>
      <c r="K27" s="1089"/>
      <c r="L27" s="1089"/>
      <c r="M27" s="1089"/>
      <c r="N27" s="1089"/>
      <c r="O27" s="1089"/>
      <c r="P27" s="1089">
        <f t="shared" si="9"/>
        <v>4474438.2232999997</v>
      </c>
    </row>
    <row r="28" spans="1:16" s="1054" customFormat="1" ht="33.75">
      <c r="A28" s="1090" t="s">
        <v>141</v>
      </c>
      <c r="B28" s="1091" t="s">
        <v>199</v>
      </c>
      <c r="C28" s="1089">
        <f t="shared" si="0"/>
        <v>1766619.2233</v>
      </c>
      <c r="D28" s="1095">
        <f>'Мб 2015'!N190+'Мб 2015'!N145+'Мб 2015'!N158</f>
        <v>1766619.2233</v>
      </c>
      <c r="E28" s="1095"/>
      <c r="F28" s="1089"/>
      <c r="G28" s="1095"/>
      <c r="H28" s="1095"/>
      <c r="I28" s="1095"/>
      <c r="J28" s="1089"/>
      <c r="K28" s="1095"/>
      <c r="L28" s="1089"/>
      <c r="M28" s="1095"/>
      <c r="N28" s="1095"/>
      <c r="O28" s="1089"/>
      <c r="P28" s="1089">
        <f t="shared" si="9"/>
        <v>1766619.2233</v>
      </c>
    </row>
    <row r="29" spans="1:16" s="1054" customFormat="1" ht="33.75">
      <c r="A29" s="1096" t="s">
        <v>1933</v>
      </c>
      <c r="B29" s="1099" t="s">
        <v>1934</v>
      </c>
      <c r="C29" s="1089"/>
      <c r="D29" s="1095"/>
      <c r="E29" s="1095"/>
      <c r="F29" s="1089"/>
      <c r="G29" s="1095"/>
      <c r="H29" s="1095"/>
      <c r="I29" s="1095"/>
      <c r="J29" s="1089"/>
      <c r="K29" s="1095"/>
      <c r="L29" s="1089"/>
      <c r="M29" s="1095"/>
      <c r="N29" s="1095"/>
      <c r="O29" s="1089"/>
      <c r="P29" s="1089"/>
    </row>
    <row r="30" spans="1:16" s="1054" customFormat="1" ht="33.75">
      <c r="A30" s="1090" t="s">
        <v>144</v>
      </c>
      <c r="B30" s="1091" t="s">
        <v>201</v>
      </c>
      <c r="C30" s="1089"/>
      <c r="D30" s="1095"/>
      <c r="E30" s="1095"/>
      <c r="F30" s="1089">
        <f>I30+G30</f>
        <v>2707819</v>
      </c>
      <c r="G30" s="1095">
        <f>'НБ прем.'!F30</f>
        <v>2707819</v>
      </c>
      <c r="H30" s="1095"/>
      <c r="I30" s="1095"/>
      <c r="J30" s="1089"/>
      <c r="K30" s="1095"/>
      <c r="L30" s="1089"/>
      <c r="M30" s="1095"/>
      <c r="N30" s="1095"/>
      <c r="O30" s="1089"/>
      <c r="P30" s="1089">
        <f>C30+F30+J30+L30+O30</f>
        <v>2707819</v>
      </c>
    </row>
    <row r="31" spans="1:16" s="1054" customFormat="1" ht="33.75">
      <c r="A31" s="1096" t="s">
        <v>1935</v>
      </c>
      <c r="B31" s="1099" t="s">
        <v>1942</v>
      </c>
      <c r="C31" s="1089"/>
      <c r="D31" s="1095"/>
      <c r="E31" s="1095"/>
      <c r="F31" s="1089"/>
      <c r="G31" s="1095"/>
      <c r="H31" s="1095"/>
      <c r="I31" s="1095"/>
      <c r="J31" s="1089"/>
      <c r="K31" s="1095"/>
      <c r="L31" s="1089"/>
      <c r="M31" s="1095"/>
      <c r="N31" s="1095"/>
      <c r="O31" s="1089"/>
      <c r="P31" s="1089"/>
    </row>
    <row r="32" spans="1:16" s="1046" customFormat="1" ht="22.5">
      <c r="A32" s="1087" t="s">
        <v>146</v>
      </c>
      <c r="B32" s="1088" t="s">
        <v>203</v>
      </c>
      <c r="C32" s="1089">
        <f t="shared" si="0"/>
        <v>4427080.4000400025</v>
      </c>
      <c r="D32" s="1089">
        <f t="shared" ref="D32" si="12">D34+D35+D33</f>
        <v>4427080.4000400025</v>
      </c>
      <c r="E32" s="1089"/>
      <c r="F32" s="1089"/>
      <c r="G32" s="1089"/>
      <c r="H32" s="1089"/>
      <c r="I32" s="1089"/>
      <c r="J32" s="1089"/>
      <c r="K32" s="1089"/>
      <c r="L32" s="1089"/>
      <c r="M32" s="1089"/>
      <c r="N32" s="1089"/>
      <c r="O32" s="1089"/>
      <c r="P32" s="1089">
        <f>C32+F32+J32+L32+O32</f>
        <v>4427080.4000400025</v>
      </c>
    </row>
    <row r="33" spans="1:16" s="1046" customFormat="1" ht="33.75">
      <c r="A33" s="1096" t="s">
        <v>1937</v>
      </c>
      <c r="B33" s="1099" t="s">
        <v>1938</v>
      </c>
      <c r="C33" s="1089"/>
      <c r="D33" s="1095"/>
      <c r="E33" s="1095"/>
      <c r="F33" s="1089"/>
      <c r="G33" s="1095"/>
      <c r="H33" s="1095"/>
      <c r="I33" s="1095"/>
      <c r="J33" s="1089"/>
      <c r="K33" s="1095"/>
      <c r="L33" s="1089"/>
      <c r="M33" s="1095"/>
      <c r="N33" s="1095"/>
      <c r="O33" s="1089"/>
      <c r="P33" s="1089"/>
    </row>
    <row r="34" spans="1:16" s="1054" customFormat="1" ht="56.25">
      <c r="A34" s="1090" t="s">
        <v>147</v>
      </c>
      <c r="B34" s="1091" t="s">
        <v>204</v>
      </c>
      <c r="C34" s="1089">
        <f t="shared" si="0"/>
        <v>4427080.4000400025</v>
      </c>
      <c r="D34" s="1095">
        <f>'КОМУ 2015'!BH5+'КОМУ 2015'!BH7+'КОМУ 2015'!BH6+'ГБ 2015'!P39+'КОМУ 2015'!BH9+'ГБ 2015'!P15-'ГБ 2015'!N42-'ГБ 2015'!N44-'ГБ 2015'!N40-'ГБ 2015'!N31-'ГБ 2015'!N27-'ГБ 2015'!N33-'ГБ 2015'!N13-'ГБ 2015'!N20-'ГБ 2015'!N23-'ГБ 2015'!N16</f>
        <v>4427080.4000400025</v>
      </c>
      <c r="E34" s="1095"/>
      <c r="F34" s="1089"/>
      <c r="G34" s="1095"/>
      <c r="H34" s="1095"/>
      <c r="I34" s="1095"/>
      <c r="J34" s="1089"/>
      <c r="K34" s="1095"/>
      <c r="L34" s="1089"/>
      <c r="M34" s="1095"/>
      <c r="N34" s="1095"/>
      <c r="O34" s="1089"/>
      <c r="P34" s="1089">
        <f>C34+F34+J34+L34+O34</f>
        <v>4427080.4000400025</v>
      </c>
    </row>
    <row r="35" spans="1:16" s="1054" customFormat="1">
      <c r="A35" s="1090" t="s">
        <v>149</v>
      </c>
      <c r="B35" s="1091" t="s">
        <v>206</v>
      </c>
      <c r="C35" s="1089">
        <f t="shared" si="0"/>
        <v>0</v>
      </c>
      <c r="D35" s="1095"/>
      <c r="E35" s="1095"/>
      <c r="F35" s="1089"/>
      <c r="G35" s="1095"/>
      <c r="H35" s="1095"/>
      <c r="I35" s="1095"/>
      <c r="J35" s="1089"/>
      <c r="K35" s="1095"/>
      <c r="L35" s="1089"/>
      <c r="M35" s="1095"/>
      <c r="N35" s="1095"/>
      <c r="O35" s="1089"/>
      <c r="P35" s="1089">
        <f>C35+F35+J35+L35+O35</f>
        <v>0</v>
      </c>
    </row>
    <row r="36" spans="1:16" s="1046" customFormat="1">
      <c r="A36" s="1087" t="s">
        <v>150</v>
      </c>
      <c r="B36" s="1088" t="s">
        <v>13</v>
      </c>
      <c r="C36" s="1089">
        <f t="shared" si="0"/>
        <v>1612487.7891899999</v>
      </c>
      <c r="D36" s="1089">
        <f>'ДФ 2015'!H12</f>
        <v>1612487.7891899999</v>
      </c>
      <c r="E36" s="1089"/>
      <c r="F36" s="1089"/>
      <c r="G36" s="1089"/>
      <c r="H36" s="1089"/>
      <c r="I36" s="1089"/>
      <c r="J36" s="1089"/>
      <c r="K36" s="1089"/>
      <c r="L36" s="1089"/>
      <c r="M36" s="1089"/>
      <c r="N36" s="1089"/>
      <c r="O36" s="1089"/>
      <c r="P36" s="1089">
        <f>C36+F36+J36+L36+O36</f>
        <v>1612487.7891899999</v>
      </c>
    </row>
    <row r="37" spans="1:16" s="1046" customFormat="1" ht="21" customHeight="1">
      <c r="A37" s="1101" t="s">
        <v>1878</v>
      </c>
      <c r="B37" s="1088" t="s">
        <v>1879</v>
      </c>
      <c r="C37" s="1089">
        <f t="shared" si="0"/>
        <v>17566346.273699999</v>
      </c>
      <c r="D37" s="1089">
        <f>(-'ГБ 2015'!N219-'РБ 2015'!N66-'ГБ 2015'!N205-'ГБ 2015'!N198-'ГБ 2015'!N69+'ГБ 2015'!N217+'ГБ 2015'!N219+'ГБ 2015'!N220+'ГБ 2015'!N223+'ГБ 2015'!N224+'ГБ 2015'!N225+'ГБ 2015'!N226+'ГБ 2015'!N78+'ГБ 2015'!N65+'ГБ 2015'!N214+'ГБ 2015'!N302+'ГБ 2015'!N303+'ГБ 2015'!N80+'ГБ 2015'!N69+'Мб 2015'!N200+'Мб 2015'!N202+'Мб 2015'!N204+'Мб 2015'!N205+'Мб 2015'!N207+'Мб 2015'!N167+'Мб 2015'!N166+'Мб 2015'!N165+'Мб 2015'!N164+'Мб 2015'!N162+'Мб 2015'!N161+'Мб 2015'!N159+'Мб 2015'!N155+'ГБ 2015'!N252+'ГБ 2015'!N255+'ГБ 2015'!N292+'ГБ 2015'!N295+'ГБ 2015'!N298+'ГБ 2015'!N259+'ГБ 2015'!N262+'ГБ 2015'!N266+'ГБ 2015'!N269-'ГБ 2015'!N242-'ГБ 2015'!N285+'Мб 2015'!N130+'Мб 2015'!N137)-76245072</f>
        <v>17566346.273699999</v>
      </c>
      <c r="E37" s="1089"/>
      <c r="F37" s="1089">
        <f>G37+I37</f>
        <v>14087169</v>
      </c>
      <c r="G37" s="1089"/>
      <c r="H37" s="1089"/>
      <c r="I37" s="1089">
        <f>'ОУ 2015'!D15</f>
        <v>14087169</v>
      </c>
      <c r="J37" s="1089"/>
      <c r="K37" s="1089"/>
      <c r="L37" s="1089">
        <f>N37+M37</f>
        <v>2829095.06</v>
      </c>
      <c r="M37" s="1089"/>
      <c r="N37" s="1102">
        <f>'РБ 2015'!N57+Доноры!O15</f>
        <v>2829095.06</v>
      </c>
      <c r="O37" s="1089"/>
      <c r="P37" s="1089">
        <f>C37+F37+J37+L37+O37</f>
        <v>34482610.333700001</v>
      </c>
    </row>
    <row r="38" spans="1:16" s="1046" customFormat="1" ht="30.95" customHeight="1">
      <c r="A38" s="1239" t="s">
        <v>46</v>
      </c>
      <c r="B38" s="1240"/>
      <c r="C38" s="1089">
        <f>C37+C36+C32+C27+C26+C22+C18+C12+C8+C4</f>
        <v>783000037.35481</v>
      </c>
      <c r="D38" s="1089">
        <f>D37+D36+D32+D27+D26+D22+D18+D12+D8+D4</f>
        <v>783000037.35481</v>
      </c>
      <c r="E38" s="1089"/>
      <c r="F38" s="1089">
        <f>F37+F36+F32+F27+F26+F22+F18+F12+F8+F4</f>
        <v>57824391</v>
      </c>
      <c r="G38" s="1089">
        <f>G37+G36+G32+G27+G26+G22+G18+G12+G8+G4</f>
        <v>20577506</v>
      </c>
      <c r="H38" s="1089"/>
      <c r="I38" s="1089">
        <f>I37+I36+I32+I27+I26+I22+I18+I12+I8+I4</f>
        <v>37246885</v>
      </c>
      <c r="J38" s="1089">
        <f>J4+J12+J18+J22+J26+J27+J32+J36+J37</f>
        <v>398969089.39999998</v>
      </c>
      <c r="K38" s="1089"/>
      <c r="L38" s="1089">
        <f>N38+M38</f>
        <v>4631429.0600000005</v>
      </c>
      <c r="M38" s="1089"/>
      <c r="N38" s="1089">
        <f>N37+N36+N32+N27+N26+N22+N18+N12+N8+N4</f>
        <v>4631429.0600000005</v>
      </c>
      <c r="O38" s="1089"/>
      <c r="P38" s="1089">
        <f>P37+P36+P32+P27+P26+P22+P18+P12+P8+P4</f>
        <v>1244424946.8148098</v>
      </c>
    </row>
    <row r="39" spans="1:16" s="1080" customFormat="1">
      <c r="A39" s="1103"/>
      <c r="B39" s="1104"/>
      <c r="C39" s="1103"/>
      <c r="D39" s="1103"/>
      <c r="E39" s="1103"/>
      <c r="F39" s="1105"/>
      <c r="G39" s="1105"/>
      <c r="H39" s="1105"/>
      <c r="I39" s="1105"/>
      <c r="J39" s="1105"/>
      <c r="K39" s="1105"/>
      <c r="L39" s="1103"/>
      <c r="M39" s="1103"/>
      <c r="N39" s="1105"/>
      <c r="O39" s="1105"/>
      <c r="P39" s="1106"/>
    </row>
    <row r="40" spans="1:16" s="1080" customFormat="1">
      <c r="A40" s="1107"/>
      <c r="B40" s="1108"/>
      <c r="C40" s="1109"/>
      <c r="D40" s="1107"/>
      <c r="E40" s="1107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071"/>
    </row>
    <row r="41" spans="1:16" s="1080" customFormat="1">
      <c r="A41" s="1107"/>
      <c r="B41" s="1108"/>
      <c r="C41" s="1109"/>
      <c r="D41" s="1107"/>
      <c r="E41" s="1107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1"/>
    </row>
    <row r="42" spans="1:16" s="1080" customFormat="1">
      <c r="A42" s="1107"/>
      <c r="B42" s="1108"/>
      <c r="C42" s="1107"/>
      <c r="D42" s="1107"/>
      <c r="E42" s="1107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2"/>
    </row>
    <row r="43" spans="1:16" s="1080" customFormat="1">
      <c r="A43" s="1107"/>
      <c r="B43" s="1108"/>
      <c r="C43" s="1107"/>
      <c r="D43" s="1107"/>
      <c r="E43" s="1107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2"/>
    </row>
    <row r="44" spans="1:16" s="1080" customFormat="1">
      <c r="A44" s="1107"/>
      <c r="B44" s="1108"/>
      <c r="C44" s="1107"/>
      <c r="D44" s="1107"/>
      <c r="E44" s="1107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3"/>
    </row>
    <row r="45" spans="1:16" s="1080" customFormat="1">
      <c r="A45" s="1107"/>
      <c r="B45" s="1108"/>
      <c r="C45" s="1107"/>
      <c r="D45" s="1107"/>
      <c r="E45" s="1107"/>
      <c r="F45" s="1110"/>
      <c r="G45" s="1110"/>
      <c r="H45" s="1110"/>
      <c r="I45" s="1110"/>
      <c r="J45" s="1110"/>
      <c r="K45" s="1110"/>
      <c r="L45" s="1110"/>
      <c r="M45" s="1110"/>
      <c r="N45" s="1110"/>
      <c r="O45" s="1110"/>
      <c r="P45" s="1111"/>
    </row>
    <row r="46" spans="1:16" s="1080" customFormat="1">
      <c r="A46" s="1107"/>
      <c r="B46" s="1108"/>
      <c r="C46" s="1107"/>
      <c r="D46" s="1107"/>
      <c r="E46" s="1107"/>
      <c r="F46" s="1110"/>
      <c r="G46" s="1110"/>
      <c r="H46" s="1110"/>
      <c r="I46" s="1110"/>
      <c r="J46" s="1110"/>
      <c r="K46" s="1110"/>
      <c r="L46" s="1110"/>
      <c r="M46" s="1110"/>
      <c r="N46" s="1110"/>
      <c r="O46" s="1110"/>
      <c r="P46" s="1111"/>
    </row>
    <row r="47" spans="1:16" s="1080" customFormat="1">
      <c r="A47" s="1107"/>
      <c r="B47" s="1108"/>
      <c r="C47" s="1107"/>
      <c r="D47" s="1109"/>
      <c r="E47" s="1109"/>
      <c r="F47" s="1110"/>
      <c r="G47" s="1110"/>
      <c r="H47" s="1110"/>
      <c r="I47" s="1110"/>
      <c r="J47" s="1110"/>
      <c r="K47" s="1110"/>
      <c r="L47" s="1110"/>
      <c r="M47" s="1110"/>
      <c r="N47" s="1110"/>
      <c r="O47" s="1110"/>
      <c r="P47" s="1111"/>
    </row>
    <row r="48" spans="1:16" s="1080" customFormat="1">
      <c r="A48" s="1107"/>
      <c r="B48" s="1108"/>
      <c r="C48" s="1107"/>
      <c r="D48" s="1107"/>
      <c r="E48" s="1107"/>
      <c r="F48" s="1110"/>
      <c r="G48" s="1110"/>
      <c r="H48" s="1110"/>
      <c r="I48" s="1110"/>
      <c r="J48" s="1110"/>
      <c r="K48" s="1110"/>
      <c r="L48" s="1110"/>
      <c r="M48" s="1110"/>
      <c r="N48" s="1110"/>
      <c r="O48" s="1110"/>
      <c r="P48" s="1111"/>
    </row>
    <row r="49" spans="1:16" s="1080" customFormat="1">
      <c r="A49" s="1107"/>
      <c r="B49" s="1108"/>
      <c r="C49" s="1107"/>
      <c r="D49" s="1107"/>
      <c r="E49" s="1107"/>
      <c r="F49" s="1110"/>
      <c r="G49" s="1110"/>
      <c r="H49" s="1110"/>
      <c r="I49" s="1110"/>
      <c r="J49" s="1110"/>
      <c r="K49" s="1110"/>
      <c r="L49" s="1110"/>
      <c r="M49" s="1110"/>
      <c r="N49" s="1110"/>
      <c r="O49" s="1110"/>
      <c r="P49" s="1111"/>
    </row>
    <row r="50" spans="1:16" s="1080" customFormat="1">
      <c r="A50" s="1107"/>
      <c r="B50" s="1108"/>
      <c r="C50" s="1107"/>
      <c r="D50" s="1107"/>
      <c r="E50" s="1107"/>
      <c r="F50" s="1110"/>
      <c r="G50" s="1110"/>
      <c r="H50" s="1110"/>
      <c r="I50" s="1110"/>
      <c r="J50" s="1110"/>
      <c r="K50" s="1110"/>
      <c r="L50" s="1110"/>
      <c r="M50" s="1110"/>
      <c r="N50" s="1110"/>
      <c r="O50" s="1110"/>
      <c r="P50" s="1111"/>
    </row>
    <row r="51" spans="1:16" s="1080" customFormat="1">
      <c r="A51" s="1107"/>
      <c r="B51" s="1108"/>
      <c r="C51" s="1107"/>
      <c r="D51" s="1107"/>
      <c r="E51" s="1107"/>
      <c r="F51" s="1110"/>
      <c r="G51" s="1110"/>
      <c r="H51" s="1110"/>
      <c r="I51" s="1110"/>
      <c r="J51" s="1110"/>
      <c r="K51" s="1110"/>
      <c r="L51" s="1110"/>
      <c r="M51" s="1110"/>
      <c r="N51" s="1110"/>
      <c r="O51" s="1110"/>
      <c r="P51" s="1110"/>
    </row>
    <row r="52" spans="1:16" s="1080" customFormat="1">
      <c r="A52" s="1107"/>
      <c r="B52" s="1108"/>
      <c r="C52" s="1107"/>
      <c r="D52" s="1107"/>
      <c r="E52" s="1107"/>
      <c r="F52" s="1110"/>
      <c r="G52" s="1110"/>
      <c r="H52" s="1110"/>
      <c r="I52" s="1110"/>
      <c r="J52" s="1110"/>
      <c r="K52" s="1110"/>
      <c r="L52" s="1110"/>
      <c r="M52" s="1110"/>
      <c r="N52" s="1110"/>
      <c r="O52" s="1110"/>
      <c r="P52" s="1110"/>
    </row>
    <row r="53" spans="1:16" s="1080" customFormat="1">
      <c r="A53" s="1107"/>
      <c r="B53" s="1108"/>
      <c r="C53" s="1107"/>
      <c r="D53" s="1107"/>
      <c r="E53" s="1107"/>
      <c r="F53" s="1110"/>
      <c r="G53" s="1110"/>
      <c r="H53" s="1110"/>
      <c r="I53" s="1110"/>
      <c r="J53" s="1110"/>
      <c r="K53" s="1110"/>
      <c r="L53" s="1110"/>
      <c r="M53" s="1110"/>
      <c r="N53" s="1110"/>
      <c r="O53" s="1110"/>
      <c r="P53" s="1110"/>
    </row>
    <row r="54" spans="1:16" s="1080" customFormat="1">
      <c r="A54" s="1107"/>
      <c r="B54" s="1108"/>
      <c r="C54" s="1107"/>
      <c r="D54" s="1107"/>
      <c r="E54" s="1107"/>
      <c r="F54" s="1110"/>
      <c r="G54" s="1110"/>
      <c r="H54" s="1110"/>
      <c r="I54" s="1110"/>
      <c r="J54" s="1110"/>
      <c r="K54" s="1110"/>
      <c r="L54" s="1110"/>
      <c r="M54" s="1110"/>
      <c r="N54" s="1110"/>
      <c r="O54" s="1110"/>
      <c r="P54" s="1110"/>
    </row>
    <row r="55" spans="1:16" s="1080" customFormat="1">
      <c r="A55" s="1107"/>
      <c r="B55" s="1108"/>
      <c r="C55" s="1107"/>
      <c r="D55" s="1107"/>
      <c r="E55" s="1107"/>
      <c r="F55" s="1110"/>
      <c r="G55" s="1110"/>
      <c r="H55" s="1110"/>
      <c r="I55" s="1110"/>
      <c r="J55" s="1110"/>
      <c r="K55" s="1110"/>
      <c r="L55" s="1110"/>
      <c r="M55" s="1110"/>
      <c r="N55" s="1110"/>
      <c r="O55" s="1110"/>
      <c r="P55" s="1110"/>
    </row>
    <row r="56" spans="1:16" s="1080" customFormat="1">
      <c r="A56" s="1107"/>
      <c r="B56" s="1108"/>
      <c r="C56" s="1107"/>
      <c r="D56" s="1107"/>
      <c r="E56" s="1107"/>
      <c r="F56" s="1110"/>
      <c r="G56" s="1110"/>
      <c r="H56" s="1110"/>
      <c r="I56" s="1110"/>
      <c r="J56" s="1110"/>
      <c r="K56" s="1110"/>
      <c r="L56" s="1110"/>
      <c r="M56" s="1110"/>
      <c r="N56" s="1110"/>
      <c r="O56" s="1110"/>
      <c r="P56" s="1110"/>
    </row>
    <row r="57" spans="1:16" s="1080" customFormat="1">
      <c r="A57" s="1107"/>
      <c r="B57" s="1108"/>
      <c r="C57" s="1107"/>
      <c r="D57" s="1107"/>
      <c r="E57" s="1107"/>
      <c r="F57" s="1110"/>
      <c r="G57" s="1110"/>
      <c r="H57" s="1110"/>
      <c r="I57" s="1110"/>
      <c r="J57" s="1110"/>
      <c r="K57" s="1110"/>
      <c r="L57" s="1110"/>
      <c r="M57" s="1110"/>
      <c r="N57" s="1110"/>
      <c r="O57" s="1110"/>
      <c r="P57" s="1110"/>
    </row>
    <row r="58" spans="1:16" s="1080" customFormat="1">
      <c r="A58" s="1107"/>
      <c r="B58" s="1108"/>
      <c r="C58" s="1107"/>
      <c r="D58" s="1107"/>
      <c r="E58" s="1107"/>
      <c r="F58" s="1110"/>
      <c r="G58" s="1110"/>
      <c r="H58" s="1110"/>
      <c r="I58" s="1110"/>
      <c r="J58" s="1110"/>
      <c r="K58" s="1110"/>
      <c r="L58" s="1110"/>
      <c r="M58" s="1110"/>
      <c r="N58" s="1110"/>
      <c r="O58" s="1110"/>
      <c r="P58" s="1110"/>
    </row>
    <row r="59" spans="1:16" s="1080" customFormat="1">
      <c r="A59" s="1107"/>
      <c r="B59" s="1108"/>
      <c r="C59" s="1107"/>
      <c r="D59" s="1107"/>
      <c r="E59" s="1107"/>
      <c r="F59" s="1110"/>
      <c r="G59" s="1110"/>
      <c r="H59" s="1110"/>
      <c r="I59" s="1110"/>
      <c r="J59" s="1110"/>
      <c r="K59" s="1110"/>
      <c r="L59" s="1110"/>
      <c r="M59" s="1110"/>
      <c r="N59" s="1110"/>
      <c r="O59" s="1110"/>
      <c r="P59" s="1110"/>
    </row>
    <row r="60" spans="1:16" s="1080" customFormat="1">
      <c r="A60" s="1107"/>
      <c r="B60" s="1108"/>
      <c r="C60" s="1107"/>
      <c r="D60" s="1107"/>
      <c r="E60" s="1107"/>
      <c r="F60" s="1110"/>
      <c r="G60" s="1110"/>
      <c r="H60" s="1110"/>
      <c r="I60" s="1110"/>
      <c r="J60" s="1110"/>
      <c r="K60" s="1110"/>
      <c r="L60" s="1110"/>
      <c r="M60" s="1110"/>
      <c r="N60" s="1110"/>
      <c r="O60" s="1110"/>
      <c r="P60" s="1110"/>
    </row>
    <row r="61" spans="1:16" s="1080" customFormat="1">
      <c r="A61" s="1107"/>
      <c r="B61" s="1108"/>
      <c r="C61" s="1107"/>
      <c r="D61" s="1107"/>
      <c r="E61" s="1107"/>
      <c r="F61" s="1110"/>
      <c r="G61" s="1110"/>
      <c r="H61" s="1110"/>
      <c r="I61" s="1110"/>
      <c r="J61" s="1110"/>
      <c r="K61" s="1110"/>
      <c r="L61" s="1110"/>
      <c r="M61" s="1110"/>
      <c r="N61" s="1110"/>
      <c r="O61" s="1110"/>
      <c r="P61" s="1110"/>
    </row>
    <row r="62" spans="1:16" s="1080" customFormat="1">
      <c r="A62" s="1107"/>
      <c r="B62" s="1108"/>
      <c r="C62" s="1107"/>
      <c r="D62" s="1107"/>
      <c r="E62" s="1107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</row>
    <row r="63" spans="1:16" s="1080" customFormat="1">
      <c r="A63" s="1107"/>
      <c r="B63" s="1108"/>
      <c r="C63" s="1107"/>
      <c r="D63" s="1107"/>
      <c r="E63" s="1107"/>
      <c r="F63" s="1110"/>
      <c r="G63" s="1110"/>
      <c r="H63" s="1110"/>
      <c r="I63" s="1110"/>
      <c r="J63" s="1110"/>
      <c r="K63" s="1110"/>
      <c r="L63" s="1110"/>
      <c r="M63" s="1110"/>
      <c r="N63" s="1110"/>
      <c r="O63" s="1110"/>
      <c r="P63" s="1110"/>
    </row>
    <row r="64" spans="1:16" s="1080" customFormat="1">
      <c r="A64" s="1107"/>
      <c r="B64" s="1108"/>
      <c r="C64" s="1107"/>
      <c r="D64" s="1107"/>
      <c r="E64" s="1107"/>
      <c r="F64" s="1110"/>
      <c r="G64" s="1110"/>
      <c r="H64" s="1110"/>
      <c r="I64" s="1110"/>
      <c r="J64" s="1110"/>
      <c r="K64" s="1110"/>
      <c r="L64" s="1110"/>
      <c r="M64" s="1110"/>
      <c r="N64" s="1110"/>
      <c r="O64" s="1110"/>
      <c r="P64" s="1110"/>
    </row>
    <row r="65" spans="1:16" s="1080" customFormat="1">
      <c r="A65" s="1107"/>
      <c r="B65" s="1108"/>
      <c r="C65" s="1107"/>
      <c r="D65" s="1107"/>
      <c r="E65" s="1107"/>
      <c r="F65" s="1110"/>
      <c r="G65" s="1110"/>
      <c r="H65" s="1110"/>
      <c r="I65" s="1110"/>
      <c r="J65" s="1110"/>
      <c r="K65" s="1110"/>
      <c r="L65" s="1110"/>
      <c r="M65" s="1110"/>
      <c r="N65" s="1110"/>
      <c r="O65" s="1110"/>
      <c r="P65" s="1110"/>
    </row>
    <row r="66" spans="1:16" s="1080" customFormat="1">
      <c r="A66" s="1107"/>
      <c r="B66" s="1108"/>
      <c r="C66" s="1107"/>
      <c r="D66" s="1107"/>
      <c r="E66" s="1107"/>
      <c r="F66" s="1110"/>
      <c r="G66" s="1110"/>
      <c r="H66" s="1110"/>
      <c r="I66" s="1110"/>
      <c r="J66" s="1110"/>
      <c r="K66" s="1110"/>
      <c r="L66" s="1110"/>
      <c r="M66" s="1110"/>
      <c r="N66" s="1110"/>
      <c r="O66" s="1110"/>
      <c r="P66" s="1110"/>
    </row>
    <row r="67" spans="1:16" s="1080" customFormat="1">
      <c r="A67" s="1107"/>
      <c r="B67" s="1108"/>
      <c r="C67" s="1107"/>
      <c r="D67" s="1107"/>
      <c r="E67" s="1107"/>
      <c r="F67" s="1110"/>
      <c r="G67" s="1110"/>
      <c r="H67" s="1110"/>
      <c r="I67" s="1110"/>
      <c r="J67" s="1110"/>
      <c r="K67" s="1110"/>
      <c r="L67" s="1110"/>
      <c r="M67" s="1110"/>
      <c r="N67" s="1110"/>
      <c r="O67" s="1110"/>
      <c r="P67" s="1110"/>
    </row>
    <row r="68" spans="1:16" s="1080" customFormat="1">
      <c r="A68" s="1107"/>
      <c r="B68" s="1108"/>
      <c r="C68" s="1107"/>
      <c r="D68" s="1107"/>
      <c r="E68" s="1107"/>
      <c r="F68" s="1110"/>
      <c r="G68" s="1110"/>
      <c r="H68" s="1110"/>
      <c r="I68" s="1110"/>
      <c r="J68" s="1110"/>
      <c r="K68" s="1110"/>
      <c r="L68" s="1110"/>
      <c r="M68" s="1110"/>
      <c r="N68" s="1110"/>
      <c r="O68" s="1110"/>
      <c r="P68" s="1110"/>
    </row>
    <row r="69" spans="1:16" s="1080" customFormat="1">
      <c r="A69" s="1107"/>
      <c r="B69" s="1108"/>
      <c r="C69" s="1107"/>
      <c r="D69" s="1107"/>
      <c r="E69" s="1107"/>
      <c r="F69" s="1110"/>
      <c r="G69" s="1110"/>
      <c r="H69" s="1110"/>
      <c r="I69" s="1110"/>
      <c r="J69" s="1110"/>
      <c r="K69" s="1110"/>
      <c r="L69" s="1110"/>
      <c r="M69" s="1110"/>
      <c r="N69" s="1110"/>
      <c r="O69" s="1110"/>
      <c r="P69" s="1110"/>
    </row>
    <row r="70" spans="1:16" s="1080" customFormat="1">
      <c r="A70" s="1107"/>
      <c r="B70" s="1108"/>
      <c r="C70" s="1107"/>
      <c r="D70" s="1107"/>
      <c r="E70" s="1107"/>
      <c r="F70" s="1110"/>
      <c r="G70" s="1110"/>
      <c r="H70" s="1110"/>
      <c r="I70" s="1110"/>
      <c r="J70" s="1110"/>
      <c r="K70" s="1110"/>
      <c r="L70" s="1110"/>
      <c r="M70" s="1110"/>
      <c r="N70" s="1110"/>
      <c r="O70" s="1110"/>
      <c r="P70" s="1110"/>
    </row>
    <row r="71" spans="1:16" s="1080" customFormat="1">
      <c r="A71" s="1107"/>
      <c r="B71" s="1108"/>
      <c r="C71" s="1107"/>
      <c r="D71" s="1107"/>
      <c r="E71" s="1107"/>
      <c r="F71" s="1110"/>
      <c r="G71" s="1110"/>
      <c r="H71" s="1110"/>
      <c r="I71" s="1110"/>
      <c r="J71" s="1110"/>
      <c r="K71" s="1110"/>
      <c r="L71" s="1110"/>
      <c r="M71" s="1110"/>
      <c r="N71" s="1110"/>
      <c r="O71" s="1110"/>
      <c r="P71" s="1110"/>
    </row>
    <row r="72" spans="1:16" s="1080" customFormat="1">
      <c r="A72" s="1107"/>
      <c r="B72" s="1108"/>
      <c r="C72" s="1107"/>
      <c r="D72" s="1107"/>
      <c r="E72" s="1107"/>
      <c r="F72" s="1110"/>
      <c r="G72" s="1110"/>
      <c r="H72" s="1110"/>
      <c r="I72" s="1110"/>
      <c r="J72" s="1110"/>
      <c r="K72" s="1110"/>
      <c r="L72" s="1110"/>
      <c r="M72" s="1110"/>
      <c r="N72" s="1110"/>
      <c r="O72" s="1110"/>
      <c r="P72" s="1110"/>
    </row>
    <row r="73" spans="1:16" s="1080" customFormat="1">
      <c r="A73" s="1107"/>
      <c r="B73" s="1108"/>
      <c r="C73" s="1107"/>
      <c r="D73" s="1107"/>
      <c r="E73" s="1107"/>
      <c r="F73" s="1110"/>
      <c r="G73" s="1110"/>
      <c r="H73" s="1110"/>
      <c r="I73" s="1110"/>
      <c r="J73" s="1110"/>
      <c r="K73" s="1110"/>
      <c r="L73" s="1110"/>
      <c r="M73" s="1110"/>
      <c r="N73" s="1110"/>
      <c r="O73" s="1110"/>
      <c r="P73" s="1110"/>
    </row>
    <row r="74" spans="1:16" s="1080" customFormat="1">
      <c r="A74" s="1107"/>
      <c r="B74" s="1108"/>
      <c r="C74" s="1107"/>
      <c r="D74" s="1107"/>
      <c r="E74" s="1107"/>
      <c r="F74" s="1110"/>
      <c r="G74" s="1110"/>
      <c r="H74" s="1110"/>
      <c r="I74" s="1110"/>
      <c r="J74" s="1110"/>
      <c r="K74" s="1110"/>
      <c r="L74" s="1110"/>
      <c r="M74" s="1110"/>
      <c r="N74" s="1110"/>
      <c r="O74" s="1110"/>
      <c r="P74" s="1110"/>
    </row>
    <row r="75" spans="1:16" s="1080" customFormat="1">
      <c r="A75" s="1107"/>
      <c r="B75" s="1108"/>
      <c r="C75" s="1107"/>
      <c r="D75" s="1107"/>
      <c r="E75" s="1107"/>
      <c r="F75" s="1110"/>
      <c r="G75" s="1110"/>
      <c r="H75" s="1110"/>
      <c r="I75" s="1110"/>
      <c r="J75" s="1110"/>
      <c r="K75" s="1110"/>
      <c r="L75" s="1110"/>
      <c r="M75" s="1110"/>
      <c r="N75" s="1110"/>
      <c r="O75" s="1110"/>
      <c r="P75" s="1110"/>
    </row>
    <row r="76" spans="1:16" s="1080" customFormat="1">
      <c r="A76" s="1107"/>
      <c r="B76" s="1108"/>
      <c r="C76" s="1107"/>
      <c r="D76" s="1107"/>
      <c r="E76" s="1107"/>
      <c r="F76" s="1110"/>
      <c r="G76" s="1110"/>
      <c r="H76" s="1110"/>
      <c r="I76" s="1110"/>
      <c r="J76" s="1110"/>
      <c r="K76" s="1110"/>
      <c r="L76" s="1110"/>
      <c r="M76" s="1110"/>
      <c r="N76" s="1110"/>
      <c r="O76" s="1110"/>
      <c r="P76" s="1110"/>
    </row>
    <row r="77" spans="1:16" s="1080" customFormat="1">
      <c r="A77" s="1107"/>
      <c r="B77" s="1108"/>
      <c r="C77" s="1107"/>
      <c r="D77" s="1107"/>
      <c r="E77" s="1107"/>
      <c r="F77" s="1110"/>
      <c r="G77" s="1110"/>
      <c r="H77" s="1110"/>
      <c r="I77" s="1110"/>
      <c r="J77" s="1110"/>
      <c r="K77" s="1110"/>
      <c r="L77" s="1110"/>
      <c r="M77" s="1110"/>
      <c r="N77" s="1110"/>
      <c r="O77" s="1110"/>
      <c r="P77" s="1110"/>
    </row>
    <row r="78" spans="1:16" s="1080" customFormat="1">
      <c r="A78" s="1107"/>
      <c r="B78" s="1108"/>
      <c r="C78" s="1107"/>
      <c r="D78" s="1107"/>
      <c r="E78" s="1107"/>
      <c r="F78" s="1110"/>
      <c r="G78" s="1110"/>
      <c r="H78" s="1110"/>
      <c r="I78" s="1110"/>
      <c r="J78" s="1110"/>
      <c r="K78" s="1110"/>
      <c r="L78" s="1110"/>
      <c r="M78" s="1110"/>
      <c r="N78" s="1110"/>
      <c r="O78" s="1110"/>
      <c r="P78" s="1110"/>
    </row>
    <row r="79" spans="1:16" s="1080" customFormat="1">
      <c r="A79" s="1107"/>
      <c r="B79" s="1108"/>
      <c r="C79" s="1107"/>
      <c r="D79" s="1107"/>
      <c r="E79" s="1107"/>
      <c r="F79" s="1110"/>
      <c r="G79" s="1110"/>
      <c r="H79" s="1110"/>
      <c r="I79" s="1110"/>
      <c r="J79" s="1110"/>
      <c r="K79" s="1110"/>
      <c r="L79" s="1110"/>
      <c r="M79" s="1110"/>
      <c r="N79" s="1110"/>
      <c r="O79" s="1110"/>
      <c r="P79" s="1110"/>
    </row>
    <row r="80" spans="1:16" s="1080" customFormat="1">
      <c r="A80" s="1107"/>
      <c r="B80" s="1108"/>
      <c r="C80" s="1107"/>
      <c r="D80" s="1107"/>
      <c r="E80" s="1107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</row>
    <row r="81" spans="1:16" s="1080" customFormat="1">
      <c r="A81" s="1107"/>
      <c r="B81" s="1108"/>
      <c r="C81" s="1107"/>
      <c r="D81" s="1107"/>
      <c r="E81" s="1107"/>
      <c r="F81" s="1110"/>
      <c r="G81" s="1110"/>
      <c r="H81" s="1110"/>
      <c r="I81" s="1110"/>
      <c r="J81" s="1110"/>
      <c r="K81" s="1110"/>
      <c r="L81" s="1110"/>
      <c r="M81" s="1110"/>
      <c r="N81" s="1110"/>
      <c r="O81" s="1110"/>
      <c r="P81" s="1110"/>
    </row>
    <row r="82" spans="1:16" s="1080" customFormat="1">
      <c r="A82" s="1107"/>
      <c r="B82" s="1108"/>
      <c r="C82" s="1107"/>
      <c r="D82" s="1107"/>
      <c r="E82" s="1107"/>
      <c r="F82" s="1110"/>
      <c r="G82" s="1110"/>
      <c r="H82" s="1110"/>
      <c r="I82" s="1110"/>
      <c r="J82" s="1110"/>
      <c r="K82" s="1110"/>
      <c r="L82" s="1110"/>
      <c r="M82" s="1110"/>
      <c r="N82" s="1110"/>
      <c r="O82" s="1110"/>
      <c r="P82" s="1110"/>
    </row>
    <row r="83" spans="1:16" s="1080" customFormat="1">
      <c r="A83" s="1107"/>
      <c r="B83" s="1108"/>
      <c r="C83" s="1107"/>
      <c r="D83" s="1107"/>
      <c r="E83" s="1107"/>
      <c r="F83" s="1110"/>
      <c r="G83" s="1110"/>
      <c r="H83" s="1110"/>
      <c r="I83" s="1110"/>
      <c r="J83" s="1110"/>
      <c r="K83" s="1110"/>
      <c r="L83" s="1110"/>
      <c r="M83" s="1110"/>
      <c r="N83" s="1110"/>
      <c r="O83" s="1110"/>
      <c r="P83" s="1110"/>
    </row>
    <row r="84" spans="1:16" s="1080" customFormat="1">
      <c r="A84" s="1107"/>
      <c r="B84" s="1108"/>
      <c r="C84" s="1107"/>
      <c r="D84" s="1107"/>
      <c r="E84" s="1107"/>
      <c r="F84" s="1110"/>
      <c r="G84" s="1110"/>
      <c r="H84" s="1110"/>
      <c r="I84" s="1110"/>
      <c r="J84" s="1110"/>
      <c r="K84" s="1110"/>
      <c r="L84" s="1110"/>
      <c r="M84" s="1110"/>
      <c r="N84" s="1110"/>
      <c r="O84" s="1110"/>
      <c r="P84" s="1110"/>
    </row>
    <row r="85" spans="1:16" s="1080" customFormat="1">
      <c r="A85" s="1107"/>
      <c r="B85" s="1108"/>
      <c r="C85" s="1107"/>
      <c r="D85" s="1107"/>
      <c r="E85" s="1107"/>
      <c r="F85" s="1110"/>
      <c r="G85" s="1110"/>
      <c r="H85" s="1110"/>
      <c r="I85" s="1110"/>
      <c r="J85" s="1110"/>
      <c r="K85" s="1110"/>
      <c r="L85" s="1110"/>
      <c r="M85" s="1110"/>
      <c r="N85" s="1110"/>
      <c r="O85" s="1110"/>
      <c r="P85" s="1110"/>
    </row>
    <row r="86" spans="1:16" s="1080" customFormat="1">
      <c r="A86" s="1107"/>
      <c r="B86" s="1108"/>
      <c r="C86" s="1107"/>
      <c r="D86" s="1107"/>
      <c r="E86" s="1107"/>
      <c r="F86" s="1110"/>
      <c r="G86" s="1110"/>
      <c r="H86" s="1110"/>
      <c r="I86" s="1110"/>
      <c r="J86" s="1110"/>
      <c r="K86" s="1110"/>
      <c r="L86" s="1110"/>
      <c r="M86" s="1110"/>
      <c r="N86" s="1110"/>
      <c r="O86" s="1110"/>
      <c r="P86" s="1110"/>
    </row>
    <row r="87" spans="1:16" s="1080" customFormat="1">
      <c r="A87" s="1107"/>
      <c r="B87" s="1108"/>
      <c r="C87" s="1107"/>
      <c r="D87" s="1107"/>
      <c r="E87" s="1107"/>
      <c r="F87" s="1110"/>
      <c r="G87" s="1110"/>
      <c r="H87" s="1110"/>
      <c r="I87" s="1110"/>
      <c r="J87" s="1110"/>
      <c r="K87" s="1110"/>
      <c r="L87" s="1110"/>
      <c r="M87" s="1110"/>
      <c r="N87" s="1110"/>
      <c r="O87" s="1110"/>
      <c r="P87" s="1110"/>
    </row>
    <row r="88" spans="1:16" s="1080" customFormat="1">
      <c r="A88" s="1107"/>
      <c r="B88" s="1108"/>
      <c r="C88" s="1107"/>
      <c r="D88" s="1107"/>
      <c r="E88" s="1107"/>
      <c r="F88" s="1110"/>
      <c r="G88" s="1110"/>
      <c r="H88" s="1110"/>
      <c r="I88" s="1110"/>
      <c r="J88" s="1110"/>
      <c r="K88" s="1110"/>
      <c r="L88" s="1110"/>
      <c r="M88" s="1110"/>
      <c r="N88" s="1110"/>
      <c r="O88" s="1110"/>
      <c r="P88" s="1110"/>
    </row>
    <row r="89" spans="1:16" s="1080" customFormat="1">
      <c r="A89" s="1107"/>
      <c r="B89" s="1108"/>
      <c r="C89" s="1107"/>
      <c r="D89" s="1107"/>
      <c r="E89" s="1107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</row>
    <row r="90" spans="1:16" s="1080" customFormat="1">
      <c r="A90" s="1107"/>
      <c r="B90" s="1108"/>
      <c r="C90" s="1107"/>
      <c r="D90" s="1107"/>
      <c r="E90" s="1107"/>
      <c r="F90" s="1110"/>
      <c r="G90" s="1110"/>
      <c r="H90" s="1110"/>
      <c r="I90" s="1110"/>
      <c r="J90" s="1110"/>
      <c r="K90" s="1110"/>
      <c r="L90" s="1110"/>
      <c r="M90" s="1110"/>
      <c r="N90" s="1110"/>
      <c r="O90" s="1110"/>
      <c r="P90" s="1110"/>
    </row>
    <row r="91" spans="1:16" s="1080" customFormat="1">
      <c r="A91" s="1107"/>
      <c r="B91" s="1108"/>
      <c r="C91" s="1107"/>
      <c r="D91" s="1107"/>
      <c r="E91" s="1107"/>
      <c r="F91" s="1110"/>
      <c r="G91" s="1110"/>
      <c r="H91" s="1110"/>
      <c r="I91" s="1110"/>
      <c r="J91" s="1110"/>
      <c r="K91" s="1110"/>
      <c r="L91" s="1110"/>
      <c r="M91" s="1110"/>
      <c r="N91" s="1110"/>
      <c r="O91" s="1110"/>
      <c r="P91" s="1110"/>
    </row>
    <row r="92" spans="1:16" s="1080" customFormat="1">
      <c r="A92" s="1107"/>
      <c r="B92" s="1108"/>
      <c r="C92" s="1107"/>
      <c r="D92" s="1107"/>
      <c r="E92" s="1107"/>
      <c r="F92" s="1110"/>
      <c r="G92" s="1110"/>
      <c r="H92" s="1110"/>
      <c r="I92" s="1110"/>
      <c r="J92" s="1110"/>
      <c r="K92" s="1110"/>
      <c r="L92" s="1110"/>
      <c r="M92" s="1110"/>
      <c r="N92" s="1110"/>
      <c r="O92" s="1110"/>
      <c r="P92" s="1110"/>
    </row>
    <row r="93" spans="1:16" s="1080" customFormat="1">
      <c r="A93" s="1107"/>
      <c r="B93" s="1108"/>
      <c r="C93" s="1107"/>
      <c r="D93" s="1107"/>
      <c r="E93" s="1107"/>
      <c r="F93" s="1110"/>
      <c r="G93" s="1110"/>
      <c r="H93" s="1110"/>
      <c r="I93" s="1110"/>
      <c r="J93" s="1110"/>
      <c r="K93" s="1110"/>
      <c r="L93" s="1110"/>
      <c r="M93" s="1110"/>
      <c r="N93" s="1110"/>
      <c r="O93" s="1110"/>
      <c r="P93" s="1110"/>
    </row>
    <row r="94" spans="1:16" s="1080" customFormat="1">
      <c r="A94" s="1107"/>
      <c r="B94" s="1108"/>
      <c r="C94" s="1107"/>
      <c r="D94" s="1107"/>
      <c r="E94" s="1107"/>
      <c r="F94" s="1110"/>
      <c r="G94" s="1110"/>
      <c r="H94" s="1110"/>
      <c r="I94" s="1110"/>
      <c r="J94" s="1110"/>
      <c r="K94" s="1110"/>
      <c r="L94" s="1110"/>
      <c r="M94" s="1110"/>
      <c r="N94" s="1110"/>
      <c r="O94" s="1110"/>
      <c r="P94" s="1110"/>
    </row>
    <row r="95" spans="1:16" s="1080" customFormat="1">
      <c r="A95" s="1107"/>
      <c r="B95" s="1108"/>
      <c r="C95" s="1107"/>
      <c r="D95" s="1107"/>
      <c r="E95" s="1107"/>
      <c r="F95" s="1110"/>
      <c r="G95" s="1110"/>
      <c r="H95" s="1110"/>
      <c r="I95" s="1110"/>
      <c r="J95" s="1110"/>
      <c r="K95" s="1110"/>
      <c r="L95" s="1110"/>
      <c r="M95" s="1110"/>
      <c r="N95" s="1110"/>
      <c r="O95" s="1110"/>
      <c r="P95" s="1110"/>
    </row>
    <row r="96" spans="1:16" s="1080" customFormat="1">
      <c r="A96" s="1107"/>
      <c r="B96" s="1108"/>
      <c r="C96" s="1107"/>
      <c r="D96" s="1107"/>
      <c r="E96" s="1107"/>
      <c r="F96" s="1110"/>
      <c r="G96" s="1110"/>
      <c r="H96" s="1110"/>
      <c r="I96" s="1110"/>
      <c r="J96" s="1110"/>
      <c r="K96" s="1110"/>
      <c r="L96" s="1110"/>
      <c r="M96" s="1110"/>
      <c r="N96" s="1110"/>
      <c r="O96" s="1110"/>
      <c r="P96" s="1110"/>
    </row>
    <row r="97" spans="1:16" s="1080" customFormat="1">
      <c r="A97" s="1107"/>
      <c r="B97" s="1108"/>
      <c r="C97" s="1107"/>
      <c r="D97" s="1107"/>
      <c r="E97" s="1107"/>
      <c r="F97" s="1110"/>
      <c r="G97" s="1110"/>
      <c r="H97" s="1110"/>
      <c r="I97" s="1110"/>
      <c r="J97" s="1110"/>
      <c r="K97" s="1110"/>
      <c r="L97" s="1110"/>
      <c r="M97" s="1110"/>
      <c r="N97" s="1110"/>
      <c r="O97" s="1110"/>
      <c r="P97" s="1110"/>
    </row>
    <row r="98" spans="1:16" s="1080" customFormat="1">
      <c r="A98" s="1107"/>
      <c r="B98" s="1108"/>
      <c r="C98" s="1107"/>
      <c r="D98" s="1107"/>
      <c r="E98" s="1107"/>
      <c r="F98" s="1110"/>
      <c r="G98" s="1110"/>
      <c r="H98" s="1110"/>
      <c r="I98" s="1110"/>
      <c r="J98" s="1110"/>
      <c r="K98" s="1110"/>
      <c r="L98" s="1110"/>
      <c r="M98" s="1110"/>
      <c r="N98" s="1110"/>
      <c r="O98" s="1110"/>
      <c r="P98" s="1110"/>
    </row>
    <row r="99" spans="1:16" s="1080" customFormat="1">
      <c r="A99" s="1107"/>
      <c r="B99" s="1108"/>
      <c r="C99" s="1107"/>
      <c r="D99" s="1107"/>
      <c r="E99" s="1107"/>
      <c r="F99" s="1110"/>
      <c r="G99" s="1110"/>
      <c r="H99" s="1110"/>
      <c r="I99" s="1110"/>
      <c r="J99" s="1110"/>
      <c r="K99" s="1110"/>
      <c r="L99" s="1110"/>
      <c r="M99" s="1110"/>
      <c r="N99" s="1110"/>
      <c r="O99" s="1110"/>
      <c r="P99" s="1110"/>
    </row>
    <row r="100" spans="1:16" s="1080" customFormat="1">
      <c r="A100" s="1107"/>
      <c r="B100" s="1108"/>
      <c r="C100" s="1107"/>
      <c r="D100" s="1107"/>
      <c r="E100" s="1107"/>
      <c r="F100" s="1110"/>
      <c r="G100" s="1110"/>
      <c r="H100" s="1110"/>
      <c r="I100" s="1110"/>
      <c r="J100" s="1110"/>
      <c r="K100" s="1110"/>
      <c r="L100" s="1110"/>
      <c r="M100" s="1110"/>
      <c r="N100" s="1110"/>
      <c r="O100" s="1110"/>
      <c r="P100" s="1110"/>
    </row>
    <row r="101" spans="1:16" s="1080" customFormat="1">
      <c r="A101" s="1107"/>
      <c r="B101" s="1108"/>
      <c r="C101" s="1107"/>
      <c r="D101" s="1107"/>
      <c r="E101" s="1107"/>
      <c r="F101" s="1110"/>
      <c r="G101" s="1110"/>
      <c r="H101" s="1110"/>
      <c r="I101" s="1110"/>
      <c r="J101" s="1110"/>
      <c r="K101" s="1110"/>
      <c r="L101" s="1110"/>
      <c r="M101" s="1110"/>
      <c r="N101" s="1110"/>
      <c r="O101" s="1110"/>
      <c r="P101" s="1110"/>
    </row>
    <row r="102" spans="1:16" s="1080" customFormat="1">
      <c r="A102" s="1107"/>
      <c r="B102" s="1108"/>
      <c r="C102" s="1107"/>
      <c r="D102" s="1107"/>
      <c r="E102" s="1107"/>
      <c r="F102" s="1110"/>
      <c r="G102" s="1110"/>
      <c r="H102" s="1110"/>
      <c r="I102" s="1110"/>
      <c r="J102" s="1110"/>
      <c r="K102" s="1110"/>
      <c r="L102" s="1110"/>
      <c r="M102" s="1110"/>
      <c r="N102" s="1110"/>
      <c r="O102" s="1110"/>
      <c r="P102" s="1110"/>
    </row>
    <row r="103" spans="1:16" s="1080" customFormat="1">
      <c r="A103" s="1107"/>
      <c r="B103" s="1108"/>
      <c r="C103" s="1107"/>
      <c r="D103" s="1107"/>
      <c r="E103" s="1107"/>
      <c r="F103" s="1110"/>
      <c r="G103" s="1110"/>
      <c r="H103" s="1110"/>
      <c r="I103" s="1110"/>
      <c r="J103" s="1110"/>
      <c r="K103" s="1110"/>
      <c r="L103" s="1110"/>
      <c r="M103" s="1110"/>
      <c r="N103" s="1110"/>
      <c r="O103" s="1110"/>
      <c r="P103" s="1110"/>
    </row>
    <row r="104" spans="1:16" s="1080" customFormat="1">
      <c r="A104" s="1107"/>
      <c r="B104" s="1108"/>
      <c r="C104" s="1107"/>
      <c r="D104" s="1107"/>
      <c r="E104" s="1107"/>
      <c r="F104" s="1110"/>
      <c r="G104" s="1110"/>
      <c r="H104" s="1110"/>
      <c r="I104" s="1110"/>
      <c r="J104" s="1110"/>
      <c r="K104" s="1110"/>
      <c r="L104" s="1110"/>
      <c r="M104" s="1110"/>
      <c r="N104" s="1110"/>
      <c r="O104" s="1110"/>
      <c r="P104" s="1110"/>
    </row>
    <row r="105" spans="1:16" s="1080" customFormat="1">
      <c r="A105" s="1107"/>
      <c r="B105" s="1108"/>
      <c r="C105" s="1107"/>
      <c r="D105" s="1107"/>
      <c r="E105" s="1107"/>
      <c r="F105" s="1110"/>
      <c r="G105" s="1110"/>
      <c r="H105" s="1110"/>
      <c r="I105" s="1110"/>
      <c r="J105" s="1110"/>
      <c r="K105" s="1110"/>
      <c r="L105" s="1110"/>
      <c r="M105" s="1110"/>
      <c r="N105" s="1110"/>
      <c r="O105" s="1110"/>
      <c r="P105" s="1110"/>
    </row>
    <row r="106" spans="1:16" s="1080" customFormat="1">
      <c r="A106" s="1107"/>
      <c r="B106" s="1108"/>
      <c r="C106" s="1107"/>
      <c r="D106" s="1107"/>
      <c r="E106" s="1107"/>
      <c r="F106" s="1110"/>
      <c r="G106" s="1110"/>
      <c r="H106" s="1110"/>
      <c r="I106" s="1110"/>
      <c r="J106" s="1110"/>
      <c r="K106" s="1110"/>
      <c r="L106" s="1110"/>
      <c r="M106" s="1110"/>
      <c r="N106" s="1110"/>
      <c r="O106" s="1110"/>
      <c r="P106" s="1110"/>
    </row>
    <row r="107" spans="1:16" s="1080" customFormat="1">
      <c r="A107" s="1107"/>
      <c r="B107" s="1108"/>
      <c r="C107" s="1107"/>
      <c r="D107" s="1107"/>
      <c r="E107" s="1107"/>
      <c r="F107" s="1110"/>
      <c r="G107" s="1110"/>
      <c r="H107" s="1110"/>
      <c r="I107" s="1110"/>
      <c r="J107" s="1110"/>
      <c r="K107" s="1110"/>
      <c r="L107" s="1110"/>
      <c r="M107" s="1110"/>
      <c r="N107" s="1110"/>
      <c r="O107" s="1110"/>
      <c r="P107" s="1110"/>
    </row>
    <row r="108" spans="1:16" s="1080" customFormat="1">
      <c r="A108" s="1107"/>
      <c r="B108" s="1108"/>
      <c r="C108" s="1107"/>
      <c r="D108" s="1107"/>
      <c r="E108" s="1107"/>
      <c r="F108" s="1110"/>
      <c r="G108" s="1110"/>
      <c r="H108" s="1110"/>
      <c r="I108" s="1110"/>
      <c r="J108" s="1110"/>
      <c r="K108" s="1110"/>
      <c r="L108" s="1110"/>
      <c r="M108" s="1110"/>
      <c r="N108" s="1110"/>
      <c r="O108" s="1110"/>
      <c r="P108" s="1110"/>
    </row>
    <row r="109" spans="1:16" s="1080" customFormat="1">
      <c r="A109" s="1107"/>
      <c r="B109" s="1108"/>
      <c r="C109" s="1107"/>
      <c r="D109" s="1107"/>
      <c r="E109" s="1107"/>
      <c r="F109" s="1110"/>
      <c r="G109" s="1110"/>
      <c r="H109" s="1110"/>
      <c r="I109" s="1110"/>
      <c r="J109" s="1110"/>
      <c r="K109" s="1110"/>
      <c r="L109" s="1110"/>
      <c r="M109" s="1110"/>
      <c r="N109" s="1110"/>
      <c r="O109" s="1110"/>
      <c r="P109" s="1110"/>
    </row>
  </sheetData>
  <mergeCells count="7">
    <mergeCell ref="O1:O2"/>
    <mergeCell ref="P1:P3"/>
    <mergeCell ref="A38:B38"/>
    <mergeCell ref="A1:B3"/>
    <mergeCell ref="C1:E1"/>
    <mergeCell ref="F1:K1"/>
    <mergeCell ref="L1:N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"/>
  <sheetViews>
    <sheetView zoomScaleNormal="10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E50" sqref="E50"/>
    </sheetView>
  </sheetViews>
  <sheetFormatPr defaultRowHeight="11.25"/>
  <cols>
    <col min="1" max="1" width="11.140625" style="1068" customWidth="1"/>
    <col min="2" max="2" width="23.140625" style="1154" customWidth="1"/>
    <col min="3" max="3" width="12.42578125" style="1068" customWidth="1"/>
    <col min="4" max="4" width="13.140625" style="1068" customWidth="1"/>
    <col min="5" max="5" width="10.42578125" style="1068" customWidth="1"/>
    <col min="6" max="6" width="12" style="1068" customWidth="1"/>
    <col min="7" max="7" width="11" style="1152" customWidth="1"/>
    <col min="8" max="8" width="12.7109375" style="1068" customWidth="1"/>
    <col min="9" max="9" width="10.140625" style="1068" customWidth="1"/>
    <col min="10" max="10" width="11.140625" style="1068" customWidth="1"/>
    <col min="11" max="11" width="10.85546875" style="1152" customWidth="1"/>
    <col min="12" max="12" width="13.140625" style="1068" customWidth="1"/>
    <col min="13" max="14" width="12.140625" style="1068" customWidth="1"/>
    <col min="15" max="16" width="9.85546875" style="1068" customWidth="1"/>
    <col min="17" max="17" width="9.85546875" style="1152" customWidth="1"/>
    <col min="18" max="20" width="9.85546875" style="1068" customWidth="1"/>
    <col min="21" max="21" width="9.85546875" style="1152" customWidth="1"/>
    <col min="22" max="24" width="9.85546875" style="1068" customWidth="1"/>
    <col min="25" max="26" width="9.85546875" style="1152" customWidth="1"/>
    <col min="27" max="30" width="9.85546875" style="1068" customWidth="1"/>
    <col min="31" max="31" width="9.85546875" style="1152" customWidth="1"/>
    <col min="32" max="34" width="9.85546875" style="1068" customWidth="1"/>
    <col min="35" max="36" width="9.85546875" style="1152" customWidth="1"/>
    <col min="37" max="37" width="13.28515625" style="1152" customWidth="1"/>
    <col min="38" max="38" width="19.7109375" style="1153" customWidth="1"/>
    <col min="39" max="39" width="21.7109375" style="1153" customWidth="1"/>
    <col min="40" max="97" width="9.140625" style="1153" customWidth="1"/>
    <col min="98" max="16384" width="9.140625" style="1011"/>
  </cols>
  <sheetData>
    <row r="1" spans="1:97" s="1118" customFormat="1">
      <c r="A1" s="1114"/>
      <c r="B1" s="1115"/>
      <c r="C1" s="1031" t="s">
        <v>94</v>
      </c>
      <c r="D1" s="1032" t="s">
        <v>95</v>
      </c>
      <c r="E1" s="1032" t="s">
        <v>99</v>
      </c>
      <c r="F1" s="1032" t="s">
        <v>102</v>
      </c>
      <c r="G1" s="1031" t="s">
        <v>115</v>
      </c>
      <c r="H1" s="1032" t="s">
        <v>1926</v>
      </c>
      <c r="I1" s="1033" t="s">
        <v>1927</v>
      </c>
      <c r="J1" s="1032" t="s">
        <v>118</v>
      </c>
      <c r="K1" s="1031" t="s">
        <v>120</v>
      </c>
      <c r="L1" s="1032" t="s">
        <v>121</v>
      </c>
      <c r="M1" s="1032" t="s">
        <v>123</v>
      </c>
      <c r="N1" s="1032" t="s">
        <v>124</v>
      </c>
      <c r="O1" s="1032" t="s">
        <v>125</v>
      </c>
      <c r="P1" s="1033" t="s">
        <v>1929</v>
      </c>
      <c r="Q1" s="1031" t="s">
        <v>132</v>
      </c>
      <c r="R1" s="1032" t="s">
        <v>133</v>
      </c>
      <c r="S1" s="1033" t="s">
        <v>1931</v>
      </c>
      <c r="T1" s="1032" t="s">
        <v>134</v>
      </c>
      <c r="U1" s="1031" t="s">
        <v>135</v>
      </c>
      <c r="V1" s="1032" t="s">
        <v>136</v>
      </c>
      <c r="W1" s="1032" t="s">
        <v>137</v>
      </c>
      <c r="X1" s="1032" t="s">
        <v>1880</v>
      </c>
      <c r="Y1" s="1031" t="s">
        <v>139</v>
      </c>
      <c r="Z1" s="1031" t="s">
        <v>140</v>
      </c>
      <c r="AA1" s="1032" t="s">
        <v>141</v>
      </c>
      <c r="AB1" s="1033" t="s">
        <v>1933</v>
      </c>
      <c r="AC1" s="1032" t="s">
        <v>144</v>
      </c>
      <c r="AD1" s="1033" t="s">
        <v>1935</v>
      </c>
      <c r="AE1" s="1031" t="s">
        <v>146</v>
      </c>
      <c r="AF1" s="1033" t="s">
        <v>1937</v>
      </c>
      <c r="AG1" s="1032" t="s">
        <v>147</v>
      </c>
      <c r="AH1" s="1032" t="s">
        <v>149</v>
      </c>
      <c r="AI1" s="1031" t="s">
        <v>150</v>
      </c>
      <c r="AJ1" s="1116" t="s">
        <v>1878</v>
      </c>
      <c r="AK1" s="1255" t="s">
        <v>46</v>
      </c>
      <c r="AL1" s="1117"/>
      <c r="AM1" s="1117"/>
      <c r="AN1" s="1117"/>
      <c r="AO1" s="1117"/>
      <c r="AP1" s="1117"/>
      <c r="AQ1" s="1117"/>
      <c r="AR1" s="1117"/>
      <c r="AS1" s="1117"/>
      <c r="AT1" s="1117"/>
      <c r="AU1" s="1117"/>
      <c r="AV1" s="1117"/>
      <c r="AW1" s="1117"/>
      <c r="AX1" s="1117"/>
      <c r="AY1" s="1117"/>
      <c r="AZ1" s="1117"/>
      <c r="BA1" s="1117"/>
      <c r="BB1" s="1117"/>
      <c r="BC1" s="1117"/>
      <c r="BD1" s="1117"/>
      <c r="BE1" s="1117"/>
      <c r="BF1" s="1117"/>
      <c r="BG1" s="1117"/>
      <c r="BH1" s="1117"/>
      <c r="BI1" s="1117"/>
      <c r="BJ1" s="1117"/>
      <c r="BK1" s="1117"/>
      <c r="BL1" s="1117"/>
      <c r="BM1" s="1117"/>
      <c r="BN1" s="1117"/>
      <c r="BO1" s="1117"/>
      <c r="BP1" s="1117"/>
      <c r="BQ1" s="1117"/>
      <c r="BR1" s="1117"/>
      <c r="BS1" s="1117"/>
      <c r="BT1" s="1117"/>
      <c r="BU1" s="1117"/>
      <c r="BV1" s="1117"/>
      <c r="BW1" s="1117"/>
      <c r="BX1" s="1117"/>
      <c r="BY1" s="1117"/>
      <c r="BZ1" s="1117"/>
      <c r="CA1" s="1117"/>
      <c r="CB1" s="1117"/>
      <c r="CC1" s="1117"/>
      <c r="CD1" s="1117"/>
      <c r="CE1" s="1117"/>
      <c r="CF1" s="1117"/>
      <c r="CG1" s="1117"/>
      <c r="CH1" s="1117"/>
      <c r="CI1" s="1117"/>
      <c r="CJ1" s="1117"/>
      <c r="CK1" s="1117"/>
      <c r="CL1" s="1117"/>
      <c r="CM1" s="1117"/>
      <c r="CN1" s="1117"/>
      <c r="CO1" s="1117"/>
      <c r="CP1" s="1117"/>
      <c r="CQ1" s="1117"/>
      <c r="CR1" s="1117"/>
      <c r="CS1" s="1117"/>
    </row>
    <row r="2" spans="1:97" s="1118" customFormat="1" ht="146.25">
      <c r="A2" s="1114"/>
      <c r="B2" s="1115"/>
      <c r="C2" s="1119" t="s">
        <v>153</v>
      </c>
      <c r="D2" s="1018" t="s">
        <v>154</v>
      </c>
      <c r="E2" s="1018" t="s">
        <v>158</v>
      </c>
      <c r="F2" s="1018" t="s">
        <v>161</v>
      </c>
      <c r="G2" s="1031" t="s">
        <v>174</v>
      </c>
      <c r="H2" s="1018" t="s">
        <v>175</v>
      </c>
      <c r="I2" s="1019" t="s">
        <v>1928</v>
      </c>
      <c r="J2" s="1018" t="s">
        <v>177</v>
      </c>
      <c r="K2" s="1031" t="s">
        <v>179</v>
      </c>
      <c r="L2" s="1018" t="s">
        <v>180</v>
      </c>
      <c r="M2" s="1018" t="s">
        <v>182</v>
      </c>
      <c r="N2" s="1018" t="s">
        <v>183</v>
      </c>
      <c r="O2" s="1018" t="s">
        <v>184</v>
      </c>
      <c r="P2" s="1019" t="s">
        <v>1930</v>
      </c>
      <c r="Q2" s="1119" t="s">
        <v>191</v>
      </c>
      <c r="R2" s="1018" t="s">
        <v>192</v>
      </c>
      <c r="S2" s="1019" t="s">
        <v>1932</v>
      </c>
      <c r="T2" s="1018" t="s">
        <v>193</v>
      </c>
      <c r="U2" s="1119" t="s">
        <v>194</v>
      </c>
      <c r="V2" s="1018" t="s">
        <v>195</v>
      </c>
      <c r="W2" s="1018" t="s">
        <v>196</v>
      </c>
      <c r="X2" s="1018" t="s">
        <v>1881</v>
      </c>
      <c r="Y2" s="1119" t="s">
        <v>197</v>
      </c>
      <c r="Z2" s="1119" t="s">
        <v>198</v>
      </c>
      <c r="AA2" s="1018" t="s">
        <v>199</v>
      </c>
      <c r="AB2" s="1019" t="s">
        <v>1934</v>
      </c>
      <c r="AC2" s="1018" t="s">
        <v>201</v>
      </c>
      <c r="AD2" s="1019" t="s">
        <v>1936</v>
      </c>
      <c r="AE2" s="1119" t="s">
        <v>203</v>
      </c>
      <c r="AF2" s="1019" t="s">
        <v>1938</v>
      </c>
      <c r="AG2" s="1018" t="s">
        <v>204</v>
      </c>
      <c r="AH2" s="1018" t="s">
        <v>206</v>
      </c>
      <c r="AI2" s="1119" t="s">
        <v>13</v>
      </c>
      <c r="AJ2" s="1120" t="s">
        <v>1879</v>
      </c>
      <c r="AK2" s="1255"/>
      <c r="AL2" s="1117"/>
      <c r="AM2" s="1117"/>
      <c r="AN2" s="1117"/>
      <c r="AO2" s="1117"/>
      <c r="AP2" s="1117"/>
      <c r="AQ2" s="1117"/>
      <c r="AR2" s="1117"/>
      <c r="AS2" s="1117"/>
      <c r="AT2" s="1117"/>
      <c r="AU2" s="1117"/>
      <c r="AV2" s="1117"/>
      <c r="AW2" s="1117"/>
      <c r="AX2" s="1117"/>
      <c r="AY2" s="1117"/>
      <c r="AZ2" s="1117"/>
      <c r="BA2" s="1117"/>
      <c r="BB2" s="1117"/>
      <c r="BC2" s="1117"/>
      <c r="BD2" s="1117"/>
      <c r="BE2" s="1117"/>
      <c r="BF2" s="1117"/>
      <c r="BG2" s="1117"/>
      <c r="BH2" s="1117"/>
      <c r="BI2" s="1117"/>
      <c r="BJ2" s="1117"/>
      <c r="BK2" s="1117"/>
      <c r="BL2" s="1117"/>
      <c r="BM2" s="1117"/>
      <c r="BN2" s="1117"/>
      <c r="BO2" s="1117"/>
      <c r="BP2" s="1117"/>
      <c r="BQ2" s="1117"/>
      <c r="BR2" s="1117"/>
      <c r="BS2" s="1117"/>
      <c r="BT2" s="1117"/>
      <c r="BU2" s="1117"/>
      <c r="BV2" s="1117"/>
      <c r="BW2" s="1117"/>
      <c r="BX2" s="1117"/>
      <c r="BY2" s="1117"/>
      <c r="BZ2" s="1117"/>
      <c r="CA2" s="1117"/>
      <c r="CB2" s="1117"/>
      <c r="CC2" s="1117"/>
      <c r="CD2" s="1117"/>
      <c r="CE2" s="1117"/>
      <c r="CF2" s="1117"/>
      <c r="CG2" s="1117"/>
      <c r="CH2" s="1117"/>
      <c r="CI2" s="1117"/>
      <c r="CJ2" s="1117"/>
      <c r="CK2" s="1117"/>
      <c r="CL2" s="1117"/>
      <c r="CM2" s="1117"/>
      <c r="CN2" s="1117"/>
      <c r="CO2" s="1117"/>
      <c r="CP2" s="1117"/>
      <c r="CQ2" s="1117"/>
      <c r="CR2" s="1117"/>
      <c r="CS2" s="1117"/>
    </row>
    <row r="3" spans="1:97" s="1118" customFormat="1" ht="22.5">
      <c r="A3" s="1121" t="s">
        <v>1893</v>
      </c>
      <c r="B3" s="1122" t="s">
        <v>1891</v>
      </c>
      <c r="C3" s="1123">
        <f t="shared" ref="C3:AK3" si="0">C4+C5</f>
        <v>417163565.21577424</v>
      </c>
      <c r="D3" s="1124">
        <f t="shared" si="0"/>
        <v>212392241.08385673</v>
      </c>
      <c r="E3" s="1124">
        <f t="shared" si="0"/>
        <v>17905770.29696054</v>
      </c>
      <c r="F3" s="1124">
        <f t="shared" si="0"/>
        <v>146509471.83495697</v>
      </c>
      <c r="G3" s="1123"/>
      <c r="H3" s="1124"/>
      <c r="I3" s="1124"/>
      <c r="J3" s="1124"/>
      <c r="K3" s="1123">
        <f t="shared" si="0"/>
        <v>356861123.798908</v>
      </c>
      <c r="L3" s="1124">
        <f t="shared" si="0"/>
        <v>264899718.14702761</v>
      </c>
      <c r="M3" s="1124">
        <f t="shared" si="0"/>
        <v>17153885</v>
      </c>
      <c r="N3" s="1124">
        <f t="shared" si="0"/>
        <v>61701558.851880357</v>
      </c>
      <c r="O3" s="1124">
        <f t="shared" si="0"/>
        <v>13105961.800000001</v>
      </c>
      <c r="P3" s="1124"/>
      <c r="Q3" s="1123">
        <f t="shared" si="0"/>
        <v>0</v>
      </c>
      <c r="R3" s="1124"/>
      <c r="S3" s="1124"/>
      <c r="T3" s="1124">
        <f t="shared" si="0"/>
        <v>0</v>
      </c>
      <c r="U3" s="1124"/>
      <c r="V3" s="1124"/>
      <c r="W3" s="1124"/>
      <c r="X3" s="1124"/>
      <c r="Y3" s="1124"/>
      <c r="Z3" s="1123"/>
      <c r="AA3" s="1124"/>
      <c r="AB3" s="1124"/>
      <c r="AC3" s="1124"/>
      <c r="AD3" s="1124"/>
      <c r="AE3" s="1124">
        <f t="shared" si="0"/>
        <v>4416309.2999999989</v>
      </c>
      <c r="AF3" s="1124"/>
      <c r="AG3" s="1124">
        <f t="shared" si="0"/>
        <v>4416309.2999999989</v>
      </c>
      <c r="AH3" s="1124"/>
      <c r="AI3" s="1123">
        <f t="shared" si="0"/>
        <v>1612487.7891899999</v>
      </c>
      <c r="AJ3" s="1123"/>
      <c r="AK3" s="1123">
        <f t="shared" si="0"/>
        <v>780053486.10387218</v>
      </c>
      <c r="AL3" s="1117"/>
      <c r="AM3" s="1117"/>
      <c r="AN3" s="1117"/>
      <c r="AO3" s="1117"/>
      <c r="AP3" s="1117"/>
      <c r="AQ3" s="1117"/>
      <c r="AR3" s="1117"/>
      <c r="AS3" s="1117"/>
      <c r="AT3" s="1117"/>
      <c r="AU3" s="1117"/>
      <c r="AV3" s="1117"/>
      <c r="AW3" s="1117"/>
      <c r="AX3" s="1117"/>
      <c r="AY3" s="1117"/>
      <c r="AZ3" s="1117"/>
      <c r="BA3" s="1117"/>
      <c r="BB3" s="1117"/>
      <c r="BC3" s="1117"/>
      <c r="BD3" s="1117"/>
      <c r="BE3" s="1117"/>
      <c r="BF3" s="1117"/>
      <c r="BG3" s="1117"/>
      <c r="BH3" s="1117"/>
      <c r="BI3" s="1117"/>
      <c r="BJ3" s="1117"/>
      <c r="BK3" s="1117"/>
      <c r="BL3" s="1117"/>
      <c r="BM3" s="1117"/>
      <c r="BN3" s="1117"/>
      <c r="BO3" s="1117"/>
      <c r="BP3" s="1117"/>
      <c r="BQ3" s="1117"/>
      <c r="BR3" s="1117"/>
      <c r="BS3" s="1117"/>
      <c r="BT3" s="1117"/>
      <c r="BU3" s="1117"/>
      <c r="BV3" s="1117"/>
      <c r="BW3" s="1117"/>
      <c r="BX3" s="1117"/>
      <c r="BY3" s="1117"/>
      <c r="BZ3" s="1117"/>
      <c r="CA3" s="1117"/>
      <c r="CB3" s="1117"/>
      <c r="CC3" s="1117"/>
      <c r="CD3" s="1117"/>
      <c r="CE3" s="1117"/>
      <c r="CF3" s="1117"/>
      <c r="CG3" s="1117"/>
      <c r="CH3" s="1117"/>
      <c r="CI3" s="1117"/>
      <c r="CJ3" s="1117"/>
      <c r="CK3" s="1117"/>
      <c r="CL3" s="1117"/>
      <c r="CM3" s="1117"/>
      <c r="CN3" s="1117"/>
      <c r="CO3" s="1117"/>
      <c r="CP3" s="1117"/>
      <c r="CQ3" s="1117"/>
      <c r="CR3" s="1117"/>
      <c r="CS3" s="1117"/>
    </row>
    <row r="4" spans="1:97" s="1118" customFormat="1">
      <c r="A4" s="1125" t="s">
        <v>48</v>
      </c>
      <c r="B4" s="1125" t="s">
        <v>49</v>
      </c>
      <c r="C4" s="1126">
        <f>C7+C10+C13</f>
        <v>407339566.48767424</v>
      </c>
      <c r="D4" s="1126">
        <f>D7+D10+D13+D20</f>
        <v>208864505.35575673</v>
      </c>
      <c r="E4" s="1126">
        <f>E7+E10+E13+E20</f>
        <v>17905770.29696054</v>
      </c>
      <c r="F4" s="1126">
        <f>F7+F10+F13+F20</f>
        <v>146509471.83495697</v>
      </c>
      <c r="G4" s="1126"/>
      <c r="H4" s="1126"/>
      <c r="I4" s="1126"/>
      <c r="J4" s="1126"/>
      <c r="K4" s="1126">
        <f>L4+M4+N4+O4+P4</f>
        <v>356860589.798908</v>
      </c>
      <c r="L4" s="1126">
        <f>L7+L10+L13+L20</f>
        <v>264899718.14702761</v>
      </c>
      <c r="M4" s="1126">
        <f>M7+M10+M13+M20</f>
        <v>17153885</v>
      </c>
      <c r="N4" s="1126">
        <f>N7+N10+N13+N20</f>
        <v>61701558.851880357</v>
      </c>
      <c r="O4" s="1126">
        <f>O7+O10+O13+O20</f>
        <v>13105427.800000001</v>
      </c>
      <c r="P4" s="1126"/>
      <c r="Q4" s="1126">
        <f>R4+T4+S4</f>
        <v>0</v>
      </c>
      <c r="R4" s="1126"/>
      <c r="S4" s="1126"/>
      <c r="T4" s="1126">
        <f>T7+T10+T13+T20</f>
        <v>0</v>
      </c>
      <c r="U4" s="1126"/>
      <c r="V4" s="1126"/>
      <c r="W4" s="1126"/>
      <c r="X4" s="1126"/>
      <c r="Y4" s="1126"/>
      <c r="Z4" s="1126"/>
      <c r="AA4" s="1126"/>
      <c r="AB4" s="1126"/>
      <c r="AC4" s="1126"/>
      <c r="AD4" s="1126"/>
      <c r="AE4" s="1126">
        <f>AG4+AH4+AF4</f>
        <v>4416309.2999999989</v>
      </c>
      <c r="AF4" s="1126"/>
      <c r="AG4" s="1126">
        <f>AG7+AG10+AG13+AG20</f>
        <v>4416309.2999999989</v>
      </c>
      <c r="AH4" s="1126"/>
      <c r="AI4" s="1126">
        <f>AI7+AI10+AI13+AI20</f>
        <v>1612487.7891899999</v>
      </c>
      <c r="AJ4" s="1126"/>
      <c r="AK4" s="1126">
        <f>C4+G4+K4+Q4+U4+Y4+Z4+AE4+AI4+AJ4</f>
        <v>770228953.37577224</v>
      </c>
      <c r="AL4" s="1127"/>
      <c r="AM4" s="1128"/>
      <c r="AN4" s="1117"/>
      <c r="AO4" s="1117"/>
      <c r="AP4" s="1117"/>
      <c r="AQ4" s="1117"/>
      <c r="AR4" s="1117"/>
      <c r="AS4" s="1117"/>
      <c r="AT4" s="1117"/>
      <c r="AU4" s="1117"/>
      <c r="AV4" s="1117"/>
      <c r="AW4" s="1117"/>
      <c r="AX4" s="1117"/>
      <c r="AY4" s="1117"/>
      <c r="AZ4" s="1117"/>
      <c r="BA4" s="1117"/>
      <c r="BB4" s="1117"/>
      <c r="BC4" s="1117"/>
      <c r="BD4" s="1117"/>
      <c r="BE4" s="1117"/>
      <c r="BF4" s="1117"/>
      <c r="BG4" s="1117"/>
      <c r="BH4" s="1117"/>
      <c r="BI4" s="1117"/>
      <c r="BJ4" s="1117"/>
      <c r="BK4" s="1117"/>
      <c r="BL4" s="1117"/>
      <c r="BM4" s="1117"/>
      <c r="BN4" s="1117"/>
      <c r="BO4" s="1117"/>
      <c r="BP4" s="1117"/>
      <c r="BQ4" s="1117"/>
      <c r="BR4" s="1117"/>
      <c r="BS4" s="1117"/>
      <c r="BT4" s="1117"/>
      <c r="BU4" s="1117"/>
      <c r="BV4" s="1117"/>
      <c r="BW4" s="1117"/>
      <c r="BX4" s="1117"/>
      <c r="BY4" s="1117"/>
      <c r="BZ4" s="1117"/>
      <c r="CA4" s="1117"/>
      <c r="CB4" s="1117"/>
      <c r="CC4" s="1117"/>
      <c r="CD4" s="1117"/>
      <c r="CE4" s="1117"/>
      <c r="CF4" s="1117"/>
      <c r="CG4" s="1117"/>
      <c r="CH4" s="1117"/>
      <c r="CI4" s="1117"/>
      <c r="CJ4" s="1117"/>
      <c r="CK4" s="1117"/>
      <c r="CL4" s="1117"/>
      <c r="CM4" s="1117"/>
      <c r="CN4" s="1117"/>
      <c r="CO4" s="1117"/>
      <c r="CP4" s="1117"/>
      <c r="CQ4" s="1117"/>
      <c r="CR4" s="1117"/>
      <c r="CS4" s="1117"/>
    </row>
    <row r="5" spans="1:97" s="1118" customFormat="1">
      <c r="A5" s="1125" t="s">
        <v>62</v>
      </c>
      <c r="B5" s="1125" t="s">
        <v>63</v>
      </c>
      <c r="C5" s="1126">
        <f>C8+C11+C18</f>
        <v>9823998.7280999999</v>
      </c>
      <c r="D5" s="1126">
        <f>D8+D11+D18+D21</f>
        <v>3527735.7280999999</v>
      </c>
      <c r="E5" s="1126">
        <f t="shared" ref="E5:AJ5" si="1">E8+E11+E18+E21</f>
        <v>0</v>
      </c>
      <c r="F5" s="1126">
        <f t="shared" si="1"/>
        <v>0</v>
      </c>
      <c r="G5" s="1126">
        <f t="shared" si="1"/>
        <v>0</v>
      </c>
      <c r="H5" s="1126">
        <f t="shared" si="1"/>
        <v>0</v>
      </c>
      <c r="I5" s="1126">
        <f t="shared" si="1"/>
        <v>0</v>
      </c>
      <c r="J5" s="1126">
        <f t="shared" si="1"/>
        <v>0</v>
      </c>
      <c r="K5" s="1126">
        <f t="shared" si="1"/>
        <v>534</v>
      </c>
      <c r="L5" s="1126">
        <f t="shared" si="1"/>
        <v>0</v>
      </c>
      <c r="M5" s="1126">
        <f t="shared" si="1"/>
        <v>0</v>
      </c>
      <c r="N5" s="1126">
        <f t="shared" si="1"/>
        <v>0</v>
      </c>
      <c r="O5" s="1126">
        <f t="shared" si="1"/>
        <v>534</v>
      </c>
      <c r="P5" s="1126">
        <f t="shared" si="1"/>
        <v>0</v>
      </c>
      <c r="Q5" s="1126">
        <f t="shared" si="1"/>
        <v>0</v>
      </c>
      <c r="R5" s="1126">
        <f t="shared" si="1"/>
        <v>0</v>
      </c>
      <c r="S5" s="1126">
        <f t="shared" si="1"/>
        <v>0</v>
      </c>
      <c r="T5" s="1126">
        <f t="shared" si="1"/>
        <v>0</v>
      </c>
      <c r="U5" s="1126">
        <f t="shared" si="1"/>
        <v>0</v>
      </c>
      <c r="V5" s="1126">
        <f t="shared" si="1"/>
        <v>0</v>
      </c>
      <c r="W5" s="1126">
        <f t="shared" si="1"/>
        <v>0</v>
      </c>
      <c r="X5" s="1126">
        <f t="shared" si="1"/>
        <v>0</v>
      </c>
      <c r="Y5" s="1126">
        <f t="shared" si="1"/>
        <v>0</v>
      </c>
      <c r="Z5" s="1126">
        <f t="shared" si="1"/>
        <v>0</v>
      </c>
      <c r="AA5" s="1126">
        <f t="shared" si="1"/>
        <v>0</v>
      </c>
      <c r="AB5" s="1126">
        <f t="shared" si="1"/>
        <v>0</v>
      </c>
      <c r="AC5" s="1126">
        <f t="shared" si="1"/>
        <v>0</v>
      </c>
      <c r="AD5" s="1126">
        <f t="shared" si="1"/>
        <v>0</v>
      </c>
      <c r="AE5" s="1126">
        <f t="shared" si="1"/>
        <v>0</v>
      </c>
      <c r="AF5" s="1126">
        <f t="shared" si="1"/>
        <v>0</v>
      </c>
      <c r="AG5" s="1126">
        <f t="shared" si="1"/>
        <v>0</v>
      </c>
      <c r="AH5" s="1126">
        <f t="shared" si="1"/>
        <v>0</v>
      </c>
      <c r="AI5" s="1126">
        <f t="shared" si="1"/>
        <v>0</v>
      </c>
      <c r="AJ5" s="1126">
        <f t="shared" si="1"/>
        <v>0</v>
      </c>
      <c r="AK5" s="1126">
        <f>C5+G5+K5+Q5+U5+Y5+Z5+AE5+AI5+AJ5</f>
        <v>9824532.7280999999</v>
      </c>
      <c r="AL5" s="1127"/>
      <c r="AM5" s="1128"/>
      <c r="AN5" s="1117"/>
      <c r="AO5" s="1117"/>
      <c r="AP5" s="1117"/>
      <c r="AQ5" s="1117"/>
      <c r="AR5" s="1117"/>
      <c r="AS5" s="1117"/>
      <c r="AT5" s="1117"/>
      <c r="AU5" s="1117"/>
      <c r="AV5" s="1117"/>
      <c r="AW5" s="1117"/>
      <c r="AX5" s="1117"/>
      <c r="AY5" s="1117"/>
      <c r="AZ5" s="1117"/>
      <c r="BA5" s="1117"/>
      <c r="BB5" s="1117"/>
      <c r="BC5" s="1117"/>
      <c r="BD5" s="1117"/>
      <c r="BE5" s="1117"/>
      <c r="BF5" s="1117"/>
      <c r="BG5" s="1117"/>
      <c r="BH5" s="1117"/>
      <c r="BI5" s="1117"/>
      <c r="BJ5" s="1117"/>
      <c r="BK5" s="1117"/>
      <c r="BL5" s="1117"/>
      <c r="BM5" s="1117"/>
      <c r="BN5" s="1117"/>
      <c r="BO5" s="1117"/>
      <c r="BP5" s="1117"/>
      <c r="BQ5" s="1117"/>
      <c r="BR5" s="1117"/>
      <c r="BS5" s="1117"/>
      <c r="BT5" s="1117"/>
      <c r="BU5" s="1117"/>
      <c r="BV5" s="1117"/>
      <c r="BW5" s="1117"/>
      <c r="BX5" s="1117"/>
      <c r="BY5" s="1117"/>
      <c r="BZ5" s="1117"/>
      <c r="CA5" s="1117"/>
      <c r="CB5" s="1117"/>
      <c r="CC5" s="1117"/>
      <c r="CD5" s="1117"/>
      <c r="CE5" s="1117"/>
      <c r="CF5" s="1117"/>
      <c r="CG5" s="1117"/>
      <c r="CH5" s="1117"/>
      <c r="CI5" s="1117"/>
      <c r="CJ5" s="1117"/>
      <c r="CK5" s="1117"/>
      <c r="CL5" s="1117"/>
      <c r="CM5" s="1117"/>
      <c r="CN5" s="1117"/>
      <c r="CO5" s="1117"/>
      <c r="CP5" s="1117"/>
      <c r="CQ5" s="1117"/>
      <c r="CR5" s="1117"/>
      <c r="CS5" s="1117"/>
    </row>
    <row r="6" spans="1:97" s="1118" customFormat="1" ht="33.75">
      <c r="A6" s="1129" t="s">
        <v>1892</v>
      </c>
      <c r="B6" s="1122" t="s">
        <v>1894</v>
      </c>
      <c r="C6" s="1123">
        <f t="shared" ref="C6:AK6" si="2">C7+C8</f>
        <v>399457092.31577426</v>
      </c>
      <c r="D6" s="1124">
        <f t="shared" si="2"/>
        <v>201880619.28385672</v>
      </c>
      <c r="E6" s="1124">
        <f t="shared" si="2"/>
        <v>17905770.29696054</v>
      </c>
      <c r="F6" s="1124">
        <f t="shared" si="2"/>
        <v>143021360.73495698</v>
      </c>
      <c r="G6" s="1123"/>
      <c r="H6" s="1124"/>
      <c r="I6" s="1124"/>
      <c r="J6" s="1124"/>
      <c r="K6" s="1123">
        <f t="shared" si="2"/>
        <v>6338594.8000000007</v>
      </c>
      <c r="L6" s="1124">
        <f t="shared" si="2"/>
        <v>5439605.7000000011</v>
      </c>
      <c r="M6" s="1124"/>
      <c r="N6" s="1124"/>
      <c r="O6" s="1124">
        <f t="shared" si="2"/>
        <v>845959.10000000009</v>
      </c>
      <c r="P6" s="1124"/>
      <c r="Q6" s="1123"/>
      <c r="R6" s="1124"/>
      <c r="S6" s="1124"/>
      <c r="T6" s="1124"/>
      <c r="U6" s="1124"/>
      <c r="V6" s="1124"/>
      <c r="W6" s="1124"/>
      <c r="X6" s="1124"/>
      <c r="Y6" s="1123"/>
      <c r="Z6" s="1123"/>
      <c r="AA6" s="1124"/>
      <c r="AB6" s="1124"/>
      <c r="AC6" s="1124"/>
      <c r="AD6" s="1124"/>
      <c r="AE6" s="1123">
        <f t="shared" si="2"/>
        <v>4321566.6999999993</v>
      </c>
      <c r="AF6" s="1124"/>
      <c r="AG6" s="1124">
        <f t="shared" si="2"/>
        <v>4321566.6999999993</v>
      </c>
      <c r="AH6" s="1124"/>
      <c r="AI6" s="1123">
        <f t="shared" si="2"/>
        <v>1612487.7891899999</v>
      </c>
      <c r="AJ6" s="1123"/>
      <c r="AK6" s="1123">
        <f t="shared" si="2"/>
        <v>411729741.60496426</v>
      </c>
      <c r="AL6" s="1127"/>
      <c r="AM6" s="1128"/>
      <c r="AN6" s="1117"/>
      <c r="AO6" s="1117"/>
      <c r="AP6" s="1117"/>
      <c r="AQ6" s="1117"/>
      <c r="AR6" s="1117"/>
      <c r="AS6" s="1117"/>
      <c r="AT6" s="1117"/>
      <c r="AU6" s="1117"/>
      <c r="AV6" s="1117"/>
      <c r="AW6" s="1117"/>
      <c r="AX6" s="1117"/>
      <c r="AY6" s="1117"/>
      <c r="AZ6" s="1117"/>
      <c r="BA6" s="1117"/>
      <c r="BB6" s="1117"/>
      <c r="BC6" s="1117"/>
      <c r="BD6" s="1117"/>
      <c r="BE6" s="1117"/>
      <c r="BF6" s="1117"/>
      <c r="BG6" s="1117"/>
      <c r="BH6" s="1117"/>
      <c r="BI6" s="1117"/>
      <c r="BJ6" s="1117"/>
      <c r="BK6" s="1117"/>
      <c r="BL6" s="1117"/>
      <c r="BM6" s="1117"/>
      <c r="BN6" s="1117"/>
      <c r="BO6" s="1117"/>
      <c r="BP6" s="1117"/>
      <c r="BQ6" s="1117"/>
      <c r="BR6" s="1117"/>
      <c r="BS6" s="1117"/>
      <c r="BT6" s="1117"/>
      <c r="BU6" s="1117"/>
      <c r="BV6" s="1117"/>
      <c r="BW6" s="1117"/>
      <c r="BX6" s="1117"/>
      <c r="BY6" s="1117"/>
      <c r="BZ6" s="1117"/>
      <c r="CA6" s="1117"/>
      <c r="CB6" s="1117"/>
      <c r="CC6" s="1117"/>
      <c r="CD6" s="1117"/>
      <c r="CE6" s="1117"/>
      <c r="CF6" s="1117"/>
      <c r="CG6" s="1117"/>
      <c r="CH6" s="1117"/>
      <c r="CI6" s="1117"/>
      <c r="CJ6" s="1117"/>
      <c r="CK6" s="1117"/>
      <c r="CL6" s="1117"/>
      <c r="CM6" s="1117"/>
      <c r="CN6" s="1117"/>
      <c r="CO6" s="1117"/>
      <c r="CP6" s="1117"/>
      <c r="CQ6" s="1117"/>
      <c r="CR6" s="1117"/>
      <c r="CS6" s="1117"/>
    </row>
    <row r="7" spans="1:97" s="1118" customFormat="1" ht="22.5">
      <c r="A7" s="1130" t="s">
        <v>50</v>
      </c>
      <c r="B7" s="1131" t="s">
        <v>51</v>
      </c>
      <c r="C7" s="1126">
        <f>D7+E7+F7+'ОУ 2015'!G6+'ОУ 2015'!G7+'ОУ 2015'!G9+'ОУ 2015'!G10+'ОУ 2015'!G11+'ОУ 2015'!K10+'ОУ 2015'!K11</f>
        <v>389633093.58767426</v>
      </c>
      <c r="D7" s="1132">
        <f>'ДФ 2015'!H14+'ДФ 2015'!H13+'ГБ 2015'!N87+'ГБ 2015'!N100+'ГБ 2015'!N131+'ГБ 2015'!N155-AJ47+'ГБ 2015'!N54+'ГБ 2015'!N56+'ГБ 2015'!N60+'ГБ 2015'!N114+'ГБ 2015'!N213+'КОМУ 2015'!I5+'009 2015'!L13+'ДФ 2015'!J30+'ОУ 2015'!D6+'ОУ 2015'!D7+'ОУ 2015'!D9+'ОУ 2015'!D10+'ОУ 2015'!D11+ФХД2!C18+'КОМУ 2015'!J5+'КОМУ 2015'!K5+'КОМУ 2015'!I6+'ДФ 2015'!H17+'КОМУ 2015'!J6+ОДХnew!C14/1000+'ОУ 2015'!K6+'ОУ 2015'!K7</f>
        <v>198352883.55575672</v>
      </c>
      <c r="E7" s="1132">
        <f>'КОМУ 2015'!M5+'009 2015'!L14+'ДФ 2015'!H10+'КОМУ 2015'!N5+'009 2015'!L15</f>
        <v>17905770.29696054</v>
      </c>
      <c r="F7" s="1132">
        <f>'009 2015'!L19+'039 2015'!M9+'КОМУ 2015'!Q5+'КОМУ 2015'!R5+'009 2015'!L16+'009 2015'!L18+'ДФ 2015'!H9+'КОМУ 2015'!U5+'КОМУ 2015'!V5+'ГБ 2015'!N139+'ГБ 2015'!N162+'ДФ 2015'!H18+'КОМУ 2015'!X5+'КОМУ 2015'!Y5+'009 2015'!L17+'КОМУ 2015'!AA5+'КОМУ 2015'!Q6+'КОМУ 2015'!U6+'КОМУ 2015'!V6+'КОМУ 2015'!Y6+'КОМУ 2015'!AA6</f>
        <v>143021360.73495698</v>
      </c>
      <c r="G7" s="1126"/>
      <c r="H7" s="1132"/>
      <c r="I7" s="1132"/>
      <c r="J7" s="1132"/>
      <c r="K7" s="1126">
        <f>L7+M7+N7+O7+P7</f>
        <v>6338060.8000000007</v>
      </c>
      <c r="L7" s="1132">
        <f>'КОМУ 2015'!AF5+'КОМУ 2015'!AF6+'ОУ 2015'!H6+'ОУ 2015'!H7+'ОУ 2015'!H9+'ОУ 2015'!H10+'ОУ 2015'!H11</f>
        <v>5439605.7000000011</v>
      </c>
      <c r="M7" s="1132">
        <f>'ОУ 2015'!J6+'ОУ 2015'!J7+'ОУ 2015'!J9+'ОУ 2015'!J10+'ОУ 2015'!J11</f>
        <v>53030</v>
      </c>
      <c r="N7" s="1132"/>
      <c r="O7" s="1132">
        <f>'КОМУ 2015'!AL5+'КОМУ 2015'!AM5+'КОМУ 2015'!AO5+'КОМУ 2015'!AL6+'КОМУ 2015'!AO6+'ОУ 2015'!I6+'ОУ 2015'!I7+'ОУ 2015'!I9+'ОУ 2015'!I10+'ОУ 2015'!I11</f>
        <v>845425.10000000009</v>
      </c>
      <c r="P7" s="1132"/>
      <c r="Q7" s="1126"/>
      <c r="R7" s="1132"/>
      <c r="S7" s="1132"/>
      <c r="T7" s="1132"/>
      <c r="U7" s="1133"/>
      <c r="V7" s="1132"/>
      <c r="W7" s="1132"/>
      <c r="X7" s="1132"/>
      <c r="Y7" s="1126"/>
      <c r="Z7" s="1126"/>
      <c r="AA7" s="1132"/>
      <c r="AB7" s="1132"/>
      <c r="AC7" s="1132"/>
      <c r="AD7" s="1132"/>
      <c r="AE7" s="1126">
        <f>AG7+AH7+AF7</f>
        <v>4321566.6999999993</v>
      </c>
      <c r="AF7" s="1132"/>
      <c r="AG7" s="1132">
        <f>'КОМУ 2015'!BH5+'КОМУ 2015'!BH6</f>
        <v>4321566.6999999993</v>
      </c>
      <c r="AH7" s="1132"/>
      <c r="AI7" s="1126">
        <f>'ДФ 2015'!H12</f>
        <v>1612487.7891899999</v>
      </c>
      <c r="AJ7" s="1126"/>
      <c r="AK7" s="1126">
        <f>C7+G7+K7+Q7+U7+Y7+Z7+AE7+AI7+AJ7</f>
        <v>401905208.87686425</v>
      </c>
      <c r="AL7" s="1127"/>
      <c r="AM7" s="1128"/>
      <c r="AN7" s="1117"/>
      <c r="AO7" s="1117"/>
      <c r="AP7" s="1117"/>
      <c r="AQ7" s="1117"/>
      <c r="AR7" s="1117"/>
      <c r="AS7" s="1117"/>
      <c r="AT7" s="1117"/>
      <c r="AU7" s="1117"/>
      <c r="AV7" s="1117"/>
      <c r="AW7" s="1117"/>
      <c r="AX7" s="1117"/>
      <c r="AY7" s="1117"/>
      <c r="AZ7" s="1117"/>
      <c r="BA7" s="1117"/>
      <c r="BB7" s="1117"/>
      <c r="BC7" s="1117"/>
      <c r="BD7" s="1117"/>
      <c r="BE7" s="1117"/>
      <c r="BF7" s="1117"/>
      <c r="BG7" s="1117"/>
      <c r="BH7" s="1117"/>
      <c r="BI7" s="1117"/>
      <c r="BJ7" s="1117"/>
      <c r="BK7" s="1117"/>
      <c r="BL7" s="1117"/>
      <c r="BM7" s="1117"/>
      <c r="BN7" s="1117"/>
      <c r="BO7" s="1117"/>
      <c r="BP7" s="1117"/>
      <c r="BQ7" s="1117"/>
      <c r="BR7" s="1117"/>
      <c r="BS7" s="1117"/>
      <c r="BT7" s="1117"/>
      <c r="BU7" s="1117"/>
      <c r="BV7" s="1117"/>
      <c r="BW7" s="1117"/>
      <c r="BX7" s="1117"/>
      <c r="BY7" s="1117"/>
      <c r="BZ7" s="1117"/>
      <c r="CA7" s="1117"/>
      <c r="CB7" s="1117"/>
      <c r="CC7" s="1117"/>
      <c r="CD7" s="1117"/>
      <c r="CE7" s="1117"/>
      <c r="CF7" s="1117"/>
      <c r="CG7" s="1117"/>
      <c r="CH7" s="1117"/>
      <c r="CI7" s="1117"/>
      <c r="CJ7" s="1117"/>
      <c r="CK7" s="1117"/>
      <c r="CL7" s="1117"/>
      <c r="CM7" s="1117"/>
      <c r="CN7" s="1117"/>
      <c r="CO7" s="1117"/>
      <c r="CP7" s="1117"/>
      <c r="CQ7" s="1117"/>
      <c r="CR7" s="1117"/>
      <c r="CS7" s="1117"/>
    </row>
    <row r="8" spans="1:97" s="1118" customFormat="1" ht="22.5">
      <c r="A8" s="1130" t="s">
        <v>64</v>
      </c>
      <c r="B8" s="1131" t="s">
        <v>65</v>
      </c>
      <c r="C8" s="1126">
        <f>D8+E8+F8+'ОУ 2015'!G8+'ОУ 2015'!K8</f>
        <v>9823998.7280999999</v>
      </c>
      <c r="D8" s="1132">
        <f>'ОУ 2015'!D8+'ГБ 2015'!N67</f>
        <v>3527735.7280999999</v>
      </c>
      <c r="E8" s="1132"/>
      <c r="F8" s="1132"/>
      <c r="G8" s="1126"/>
      <c r="H8" s="1132"/>
      <c r="I8" s="1132"/>
      <c r="J8" s="1132"/>
      <c r="K8" s="1126">
        <f>L8+M8+N8+O8+P8</f>
        <v>534</v>
      </c>
      <c r="L8" s="1132">
        <f>'ОУ 2015'!H8</f>
        <v>0</v>
      </c>
      <c r="M8" s="1132"/>
      <c r="N8" s="1132"/>
      <c r="O8" s="1132">
        <f>'ОУ 2015'!I8</f>
        <v>534</v>
      </c>
      <c r="P8" s="1132"/>
      <c r="Q8" s="1126"/>
      <c r="R8" s="1132"/>
      <c r="S8" s="1132"/>
      <c r="T8" s="1132"/>
      <c r="U8" s="1133"/>
      <c r="V8" s="1132"/>
      <c r="W8" s="1132"/>
      <c r="X8" s="1132"/>
      <c r="Y8" s="1126"/>
      <c r="Z8" s="1126"/>
      <c r="AA8" s="1132"/>
      <c r="AB8" s="1132"/>
      <c r="AC8" s="1132"/>
      <c r="AD8" s="1132"/>
      <c r="AE8" s="1126"/>
      <c r="AF8" s="1132"/>
      <c r="AG8" s="1132"/>
      <c r="AH8" s="1132"/>
      <c r="AI8" s="1126"/>
      <c r="AJ8" s="1126"/>
      <c r="AK8" s="1126">
        <f>C8+G8+K8+Q8+U8+Y8+Z8+AE8+AI8+AJ8</f>
        <v>9824532.7280999999</v>
      </c>
      <c r="AL8" s="1127"/>
      <c r="AM8" s="1128"/>
      <c r="AN8" s="1117"/>
      <c r="AO8" s="1117"/>
      <c r="AP8" s="1117"/>
      <c r="AQ8" s="1117"/>
      <c r="AR8" s="1117"/>
      <c r="AS8" s="1117"/>
      <c r="AT8" s="1117"/>
      <c r="AU8" s="1117"/>
      <c r="AV8" s="1117"/>
      <c r="AW8" s="1117"/>
      <c r="AX8" s="1117"/>
      <c r="AY8" s="1117"/>
      <c r="AZ8" s="1117"/>
      <c r="BA8" s="1117"/>
      <c r="BB8" s="1117"/>
      <c r="BC8" s="1117"/>
      <c r="BD8" s="1117"/>
      <c r="BE8" s="1117"/>
      <c r="BF8" s="1117"/>
      <c r="BG8" s="1117"/>
      <c r="BH8" s="1117"/>
      <c r="BI8" s="1117"/>
      <c r="BJ8" s="1117"/>
      <c r="BK8" s="1117"/>
      <c r="BL8" s="1117"/>
      <c r="BM8" s="1117"/>
      <c r="BN8" s="1117"/>
      <c r="BO8" s="1117"/>
      <c r="BP8" s="1117"/>
      <c r="BQ8" s="1117"/>
      <c r="BR8" s="1117"/>
      <c r="BS8" s="1117"/>
      <c r="BT8" s="1117"/>
      <c r="BU8" s="1117"/>
      <c r="BV8" s="1117"/>
      <c r="BW8" s="1117"/>
      <c r="BX8" s="1117"/>
      <c r="BY8" s="1117"/>
      <c r="BZ8" s="1117"/>
      <c r="CA8" s="1117"/>
      <c r="CB8" s="1117"/>
      <c r="CC8" s="1117"/>
      <c r="CD8" s="1117"/>
      <c r="CE8" s="1117"/>
      <c r="CF8" s="1117"/>
      <c r="CG8" s="1117"/>
      <c r="CH8" s="1117"/>
      <c r="CI8" s="1117"/>
      <c r="CJ8" s="1117"/>
      <c r="CK8" s="1117"/>
      <c r="CL8" s="1117"/>
      <c r="CM8" s="1117"/>
      <c r="CN8" s="1117"/>
      <c r="CO8" s="1117"/>
      <c r="CP8" s="1117"/>
      <c r="CQ8" s="1117"/>
      <c r="CR8" s="1117"/>
      <c r="CS8" s="1117"/>
    </row>
    <row r="9" spans="1:97" s="1118" customFormat="1" ht="33.75">
      <c r="A9" s="1129" t="s">
        <v>1895</v>
      </c>
      <c r="B9" s="1122" t="s">
        <v>1896</v>
      </c>
      <c r="C9" s="1123">
        <f t="shared" ref="C9:AK9" si="3">C10+C11</f>
        <v>13999732.900000006</v>
      </c>
      <c r="D9" s="1124">
        <f t="shared" si="3"/>
        <v>10511621.800000004</v>
      </c>
      <c r="E9" s="1124"/>
      <c r="F9" s="1124">
        <f t="shared" si="3"/>
        <v>3488111.1000000006</v>
      </c>
      <c r="G9" s="1123"/>
      <c r="H9" s="1124"/>
      <c r="I9" s="1124"/>
      <c r="J9" s="1124"/>
      <c r="K9" s="1123">
        <f>K10+K11</f>
        <v>11659263.800000003</v>
      </c>
      <c r="L9" s="1124">
        <f t="shared" si="3"/>
        <v>8864322.1000000015</v>
      </c>
      <c r="M9" s="1124"/>
      <c r="N9" s="1124"/>
      <c r="O9" s="1124">
        <f t="shared" si="3"/>
        <v>2794941.7000000007</v>
      </c>
      <c r="P9" s="1124"/>
      <c r="Q9" s="1123"/>
      <c r="R9" s="1124"/>
      <c r="S9" s="1124"/>
      <c r="T9" s="1124"/>
      <c r="U9" s="1124"/>
      <c r="V9" s="1124"/>
      <c r="W9" s="1124"/>
      <c r="X9" s="1124"/>
      <c r="Y9" s="1123"/>
      <c r="Z9" s="1123"/>
      <c r="AA9" s="1124"/>
      <c r="AB9" s="1124"/>
      <c r="AC9" s="1124"/>
      <c r="AD9" s="1124"/>
      <c r="AE9" s="1123">
        <f t="shared" si="3"/>
        <v>94742.6</v>
      </c>
      <c r="AF9" s="1124"/>
      <c r="AG9" s="1124">
        <f t="shared" si="3"/>
        <v>94742.6</v>
      </c>
      <c r="AH9" s="1124"/>
      <c r="AI9" s="1123"/>
      <c r="AJ9" s="1123"/>
      <c r="AK9" s="1123">
        <f t="shared" si="3"/>
        <v>25753739.300000012</v>
      </c>
      <c r="AL9" s="1127"/>
      <c r="AM9" s="1128"/>
      <c r="AN9" s="1117"/>
      <c r="AO9" s="1117"/>
      <c r="AP9" s="1117"/>
      <c r="AQ9" s="1117"/>
      <c r="AR9" s="1117"/>
      <c r="AS9" s="1117"/>
      <c r="AT9" s="1117"/>
      <c r="AU9" s="1117"/>
      <c r="AV9" s="1117"/>
      <c r="AW9" s="1117"/>
      <c r="AX9" s="1117"/>
      <c r="AY9" s="1117"/>
      <c r="AZ9" s="1117"/>
      <c r="BA9" s="1117"/>
      <c r="BB9" s="1117"/>
      <c r="BC9" s="1117"/>
      <c r="BD9" s="1117"/>
      <c r="BE9" s="1117"/>
      <c r="BF9" s="1117"/>
      <c r="BG9" s="1117"/>
      <c r="BH9" s="1117"/>
      <c r="BI9" s="1117"/>
      <c r="BJ9" s="1117"/>
      <c r="BK9" s="1117"/>
      <c r="BL9" s="1117"/>
      <c r="BM9" s="1117"/>
      <c r="BN9" s="1117"/>
      <c r="BO9" s="1117"/>
      <c r="BP9" s="1117"/>
      <c r="BQ9" s="1117"/>
      <c r="BR9" s="1117"/>
      <c r="BS9" s="1117"/>
      <c r="BT9" s="1117"/>
      <c r="BU9" s="1117"/>
      <c r="BV9" s="1117"/>
      <c r="BW9" s="1117"/>
      <c r="BX9" s="1117"/>
      <c r="BY9" s="1117"/>
      <c r="BZ9" s="1117"/>
      <c r="CA9" s="1117"/>
      <c r="CB9" s="1117"/>
      <c r="CC9" s="1117"/>
      <c r="CD9" s="1117"/>
      <c r="CE9" s="1117"/>
      <c r="CF9" s="1117"/>
      <c r="CG9" s="1117"/>
      <c r="CH9" s="1117"/>
      <c r="CI9" s="1117"/>
      <c r="CJ9" s="1117"/>
      <c r="CK9" s="1117"/>
      <c r="CL9" s="1117"/>
      <c r="CM9" s="1117"/>
      <c r="CN9" s="1117"/>
      <c r="CO9" s="1117"/>
      <c r="CP9" s="1117"/>
      <c r="CQ9" s="1117"/>
      <c r="CR9" s="1117"/>
      <c r="CS9" s="1117"/>
    </row>
    <row r="10" spans="1:97" s="1118" customFormat="1" ht="22.5">
      <c r="A10" s="1130" t="s">
        <v>52</v>
      </c>
      <c r="B10" s="1131" t="s">
        <v>53</v>
      </c>
      <c r="C10" s="1126">
        <f>D10+E10+F10</f>
        <v>13999732.900000006</v>
      </c>
      <c r="D10" s="1132">
        <f>'КОМУ 2015'!I7+'КОМУ 2015'!J7+'КОМУ 2015'!K7</f>
        <v>10511621.800000004</v>
      </c>
      <c r="E10" s="1132"/>
      <c r="F10" s="1132">
        <f>'КОМУ 2015'!Q7+'КОМУ 2015'!U7+'КОМУ 2015'!V7+'КОМУ 2015'!X7+'КОМУ 2015'!Y7+'КОМУ 2015'!AA7</f>
        <v>3488111.1000000006</v>
      </c>
      <c r="G10" s="1126"/>
      <c r="H10" s="1132"/>
      <c r="I10" s="1132"/>
      <c r="J10" s="1132"/>
      <c r="K10" s="1126">
        <f>L10+N10+M10+O10</f>
        <v>11659263.800000003</v>
      </c>
      <c r="L10" s="1132">
        <f>'КОМУ 2015'!AF7</f>
        <v>8864322.1000000015</v>
      </c>
      <c r="M10" s="1132"/>
      <c r="N10" s="1132"/>
      <c r="O10" s="1132">
        <f>'КОМУ 2015'!AL7+'КОМУ 2015'!AM7+'КОМУ 2015'!AQ7+'КОМУ 2015'!AO7</f>
        <v>2794941.7000000007</v>
      </c>
      <c r="P10" s="1132"/>
      <c r="Q10" s="1126"/>
      <c r="R10" s="1132"/>
      <c r="S10" s="1132"/>
      <c r="T10" s="1132"/>
      <c r="U10" s="1133"/>
      <c r="V10" s="1132"/>
      <c r="W10" s="1132"/>
      <c r="X10" s="1132"/>
      <c r="Y10" s="1126"/>
      <c r="Z10" s="1126"/>
      <c r="AA10" s="1132"/>
      <c r="AB10" s="1132"/>
      <c r="AC10" s="1132"/>
      <c r="AD10" s="1132"/>
      <c r="AE10" s="1126">
        <f>AG10+AH10+AF10</f>
        <v>94742.6</v>
      </c>
      <c r="AF10" s="1132"/>
      <c r="AG10" s="1132">
        <f>'КОМУ 2015'!BH7</f>
        <v>94742.6</v>
      </c>
      <c r="AH10" s="1132"/>
      <c r="AI10" s="1126"/>
      <c r="AJ10" s="1126"/>
      <c r="AK10" s="1126">
        <f>C10+G10+K10+Q10+U10+Y10+Z10+AE10+AI10+AJ10</f>
        <v>25753739.300000012</v>
      </c>
      <c r="AL10" s="1127"/>
      <c r="AM10" s="1128"/>
      <c r="AN10" s="1117"/>
      <c r="AO10" s="1117"/>
      <c r="AP10" s="1117"/>
      <c r="AQ10" s="1117"/>
      <c r="AR10" s="1117"/>
      <c r="AS10" s="1117"/>
      <c r="AT10" s="1117"/>
      <c r="AU10" s="1117"/>
      <c r="AV10" s="1117"/>
      <c r="AW10" s="1117"/>
      <c r="AX10" s="1117"/>
      <c r="AY10" s="1117"/>
      <c r="AZ10" s="1117"/>
      <c r="BA10" s="1117"/>
      <c r="BB10" s="1117"/>
      <c r="BC10" s="1117"/>
      <c r="BD10" s="1117"/>
      <c r="BE10" s="1117"/>
      <c r="BF10" s="1117"/>
      <c r="BG10" s="1117"/>
      <c r="BH10" s="1117"/>
      <c r="BI10" s="1117"/>
      <c r="BJ10" s="1117"/>
      <c r="BK10" s="1117"/>
      <c r="BL10" s="1117"/>
      <c r="BM10" s="1117"/>
      <c r="BN10" s="1117"/>
      <c r="BO10" s="1117"/>
      <c r="BP10" s="1117"/>
      <c r="BQ10" s="1117"/>
      <c r="BR10" s="1117"/>
      <c r="BS10" s="1117"/>
      <c r="BT10" s="1117"/>
      <c r="BU10" s="1117"/>
      <c r="BV10" s="1117"/>
      <c r="BW10" s="1117"/>
      <c r="BX10" s="1117"/>
      <c r="BY10" s="1117"/>
      <c r="BZ10" s="1117"/>
      <c r="CA10" s="1117"/>
      <c r="CB10" s="1117"/>
      <c r="CC10" s="1117"/>
      <c r="CD10" s="1117"/>
      <c r="CE10" s="1117"/>
      <c r="CF10" s="1117"/>
      <c r="CG10" s="1117"/>
      <c r="CH10" s="1117"/>
      <c r="CI10" s="1117"/>
      <c r="CJ10" s="1117"/>
      <c r="CK10" s="1117"/>
      <c r="CL10" s="1117"/>
      <c r="CM10" s="1117"/>
      <c r="CN10" s="1117"/>
      <c r="CO10" s="1117"/>
      <c r="CP10" s="1117"/>
      <c r="CQ10" s="1117"/>
      <c r="CR10" s="1117"/>
      <c r="CS10" s="1117"/>
    </row>
    <row r="11" spans="1:97" s="1118" customFormat="1" ht="22.5">
      <c r="A11" s="1134" t="s">
        <v>1897</v>
      </c>
      <c r="B11" s="1135" t="s">
        <v>1913</v>
      </c>
      <c r="C11" s="1126"/>
      <c r="D11" s="1132"/>
      <c r="E11" s="1132"/>
      <c r="F11" s="1132"/>
      <c r="G11" s="1126"/>
      <c r="H11" s="1132"/>
      <c r="I11" s="1132"/>
      <c r="J11" s="1132"/>
      <c r="K11" s="1126"/>
      <c r="L11" s="1132"/>
      <c r="M11" s="1132"/>
      <c r="N11" s="1132"/>
      <c r="O11" s="1132"/>
      <c r="P11" s="1132"/>
      <c r="Q11" s="1126"/>
      <c r="R11" s="1132"/>
      <c r="S11" s="1132"/>
      <c r="T11" s="1132"/>
      <c r="U11" s="1133"/>
      <c r="V11" s="1132"/>
      <c r="W11" s="1132"/>
      <c r="X11" s="1132"/>
      <c r="Y11" s="1126"/>
      <c r="Z11" s="1126"/>
      <c r="AA11" s="1132"/>
      <c r="AB11" s="1132"/>
      <c r="AC11" s="1132"/>
      <c r="AD11" s="1132"/>
      <c r="AE11" s="1126"/>
      <c r="AF11" s="1132"/>
      <c r="AG11" s="1132"/>
      <c r="AH11" s="1132"/>
      <c r="AI11" s="1126"/>
      <c r="AJ11" s="1126"/>
      <c r="AK11" s="1126"/>
      <c r="AL11" s="1127"/>
      <c r="AM11" s="1128"/>
      <c r="AN11" s="1117"/>
      <c r="AO11" s="1117"/>
      <c r="AP11" s="1117"/>
      <c r="AQ11" s="1117"/>
      <c r="AR11" s="1117"/>
      <c r="AS11" s="1117"/>
      <c r="AT11" s="1117"/>
      <c r="AU11" s="1117"/>
      <c r="AV11" s="1117"/>
      <c r="AW11" s="1117"/>
      <c r="AX11" s="1117"/>
      <c r="AY11" s="1117"/>
      <c r="AZ11" s="1117"/>
      <c r="BA11" s="1117"/>
      <c r="BB11" s="1117"/>
      <c r="BC11" s="1117"/>
      <c r="BD11" s="1117"/>
      <c r="BE11" s="1117"/>
      <c r="BF11" s="1117"/>
      <c r="BG11" s="1117"/>
      <c r="BH11" s="1117"/>
      <c r="BI11" s="1117"/>
      <c r="BJ11" s="1117"/>
      <c r="BK11" s="1117"/>
      <c r="BL11" s="1117"/>
      <c r="BM11" s="1117"/>
      <c r="BN11" s="1117"/>
      <c r="BO11" s="1117"/>
      <c r="BP11" s="1117"/>
      <c r="BQ11" s="1117"/>
      <c r="BR11" s="1117"/>
      <c r="BS11" s="1117"/>
      <c r="BT11" s="1117"/>
      <c r="BU11" s="1117"/>
      <c r="BV11" s="1117"/>
      <c r="BW11" s="1117"/>
      <c r="BX11" s="1117"/>
      <c r="BY11" s="1117"/>
      <c r="BZ11" s="1117"/>
      <c r="CA11" s="1117"/>
      <c r="CB11" s="1117"/>
      <c r="CC11" s="1117"/>
      <c r="CD11" s="1117"/>
      <c r="CE11" s="1117"/>
      <c r="CF11" s="1117"/>
      <c r="CG11" s="1117"/>
      <c r="CH11" s="1117"/>
      <c r="CI11" s="1117"/>
      <c r="CJ11" s="1117"/>
      <c r="CK11" s="1117"/>
      <c r="CL11" s="1117"/>
      <c r="CM11" s="1117"/>
      <c r="CN11" s="1117"/>
      <c r="CO11" s="1117"/>
      <c r="CP11" s="1117"/>
      <c r="CQ11" s="1117"/>
      <c r="CR11" s="1117"/>
      <c r="CS11" s="1117"/>
    </row>
    <row r="12" spans="1:97" s="1118" customFormat="1" ht="22.5">
      <c r="A12" s="1129" t="s">
        <v>1898</v>
      </c>
      <c r="B12" s="1122" t="s">
        <v>1899</v>
      </c>
      <c r="C12" s="1123"/>
      <c r="D12" s="1123"/>
      <c r="E12" s="1123"/>
      <c r="F12" s="1123"/>
      <c r="G12" s="1123"/>
      <c r="H12" s="1123"/>
      <c r="I12" s="1123"/>
      <c r="J12" s="1123"/>
      <c r="K12" s="1123">
        <f t="shared" ref="K12:AK12" si="4">K13+K18</f>
        <v>338863265.19890797</v>
      </c>
      <c r="L12" s="1123">
        <f t="shared" si="4"/>
        <v>250595790.3470276</v>
      </c>
      <c r="M12" s="1123">
        <f t="shared" si="4"/>
        <v>17100855</v>
      </c>
      <c r="N12" s="1123">
        <f t="shared" si="4"/>
        <v>61701558.851880357</v>
      </c>
      <c r="O12" s="1123"/>
      <c r="P12" s="1123"/>
      <c r="Q12" s="1123">
        <f t="shared" si="4"/>
        <v>0</v>
      </c>
      <c r="R12" s="1123"/>
      <c r="S12" s="1123"/>
      <c r="T12" s="1123">
        <f t="shared" si="4"/>
        <v>0</v>
      </c>
      <c r="U12" s="1123"/>
      <c r="V12" s="1123"/>
      <c r="W12" s="1123"/>
      <c r="X12" s="1123"/>
      <c r="Y12" s="1123"/>
      <c r="Z12" s="1123"/>
      <c r="AA12" s="1123"/>
      <c r="AB12" s="1123"/>
      <c r="AC12" s="1123"/>
      <c r="AD12" s="1123"/>
      <c r="AE12" s="1123"/>
      <c r="AF12" s="1123"/>
      <c r="AG12" s="1123"/>
      <c r="AH12" s="1123"/>
      <c r="AI12" s="1123"/>
      <c r="AJ12" s="1123"/>
      <c r="AK12" s="1123">
        <f t="shared" si="4"/>
        <v>342570005.19890797</v>
      </c>
      <c r="AL12" s="1127"/>
      <c r="AM12" s="1128"/>
      <c r="AN12" s="1117"/>
      <c r="AO12" s="1117"/>
      <c r="AP12" s="1117"/>
      <c r="AQ12" s="1117"/>
      <c r="AR12" s="1117"/>
      <c r="AS12" s="1117"/>
      <c r="AT12" s="1117"/>
      <c r="AU12" s="1117"/>
      <c r="AV12" s="1117"/>
      <c r="AW12" s="1117"/>
      <c r="AX12" s="1117"/>
      <c r="AY12" s="1117"/>
      <c r="AZ12" s="1117"/>
      <c r="BA12" s="1117"/>
      <c r="BB12" s="1117"/>
      <c r="BC12" s="1117"/>
      <c r="BD12" s="1117"/>
      <c r="BE12" s="1117"/>
      <c r="BF12" s="1117"/>
      <c r="BG12" s="1117"/>
      <c r="BH12" s="1117"/>
      <c r="BI12" s="1117"/>
      <c r="BJ12" s="1117"/>
      <c r="BK12" s="1117"/>
      <c r="BL12" s="1117"/>
      <c r="BM12" s="1117"/>
      <c r="BN12" s="1117"/>
      <c r="BO12" s="1117"/>
      <c r="BP12" s="1117"/>
      <c r="BQ12" s="1117"/>
      <c r="BR12" s="1117"/>
      <c r="BS12" s="1117"/>
      <c r="BT12" s="1117"/>
      <c r="BU12" s="1117"/>
      <c r="BV12" s="1117"/>
      <c r="BW12" s="1117"/>
      <c r="BX12" s="1117"/>
      <c r="BY12" s="1117"/>
      <c r="BZ12" s="1117"/>
      <c r="CA12" s="1117"/>
      <c r="CB12" s="1117"/>
      <c r="CC12" s="1117"/>
      <c r="CD12" s="1117"/>
      <c r="CE12" s="1117"/>
      <c r="CF12" s="1117"/>
      <c r="CG12" s="1117"/>
      <c r="CH12" s="1117"/>
      <c r="CI12" s="1117"/>
      <c r="CJ12" s="1117"/>
      <c r="CK12" s="1117"/>
      <c r="CL12" s="1117"/>
      <c r="CM12" s="1117"/>
      <c r="CN12" s="1117"/>
      <c r="CO12" s="1117"/>
      <c r="CP12" s="1117"/>
      <c r="CQ12" s="1117"/>
      <c r="CR12" s="1117"/>
      <c r="CS12" s="1117"/>
    </row>
    <row r="13" spans="1:97" s="1118" customFormat="1">
      <c r="A13" s="1130" t="s">
        <v>54</v>
      </c>
      <c r="B13" s="1131" t="s">
        <v>55</v>
      </c>
      <c r="C13" s="1126">
        <f>C14+C15+C16+C17</f>
        <v>3706740</v>
      </c>
      <c r="D13" s="1132"/>
      <c r="E13" s="1132"/>
      <c r="F13" s="1132"/>
      <c r="G13" s="1126"/>
      <c r="H13" s="1132"/>
      <c r="I13" s="1132"/>
      <c r="J13" s="1132"/>
      <c r="K13" s="1126">
        <f t="shared" ref="K13:K17" si="5">L13+M13+N13+O13+P13</f>
        <v>338863265.19890797</v>
      </c>
      <c r="L13" s="1132">
        <f>L14+L15+L16+L17</f>
        <v>250595790.3470276</v>
      </c>
      <c r="M13" s="1132">
        <f>M14+M15+M16+M17</f>
        <v>17100855</v>
      </c>
      <c r="N13" s="1132">
        <f>N14+N15+N16+N17</f>
        <v>61701558.851880357</v>
      </c>
      <c r="O13" s="1132">
        <f>O14+O15+O16+O17</f>
        <v>9465061</v>
      </c>
      <c r="P13" s="1132"/>
      <c r="Q13" s="1126">
        <f t="shared" ref="Q13:Q17" si="6">R13+T13+S13</f>
        <v>0</v>
      </c>
      <c r="R13" s="1132"/>
      <c r="S13" s="1132"/>
      <c r="T13" s="1132">
        <f>T14+T15+T16+T17</f>
        <v>0</v>
      </c>
      <c r="U13" s="1133"/>
      <c r="V13" s="1132"/>
      <c r="W13" s="1132"/>
      <c r="X13" s="1132"/>
      <c r="Y13" s="1126"/>
      <c r="Z13" s="1126"/>
      <c r="AA13" s="1132"/>
      <c r="AB13" s="1132"/>
      <c r="AC13" s="1132"/>
      <c r="AD13" s="1132"/>
      <c r="AE13" s="1126"/>
      <c r="AF13" s="1132"/>
      <c r="AG13" s="1132"/>
      <c r="AH13" s="1132"/>
      <c r="AI13" s="1126"/>
      <c r="AJ13" s="1126"/>
      <c r="AK13" s="1126">
        <f t="shared" ref="AK13:AK17" si="7">C13+G13+K13+Q13+U13+Y13+Z13+AE13+AI13+AJ13</f>
        <v>342570005.19890797</v>
      </c>
      <c r="AL13" s="1127"/>
      <c r="AM13" s="1128"/>
      <c r="AN13" s="1117"/>
      <c r="AO13" s="1117"/>
      <c r="AP13" s="1117"/>
      <c r="AQ13" s="1117"/>
      <c r="AR13" s="1117"/>
      <c r="AS13" s="1117"/>
      <c r="AT13" s="1117"/>
      <c r="AU13" s="1117"/>
      <c r="AV13" s="1117"/>
      <c r="AW13" s="1117"/>
      <c r="AX13" s="1117"/>
      <c r="AY13" s="1117"/>
      <c r="AZ13" s="1117"/>
      <c r="BA13" s="1117"/>
      <c r="BB13" s="1117"/>
      <c r="BC13" s="1117"/>
      <c r="BD13" s="1117"/>
      <c r="BE13" s="1117"/>
      <c r="BF13" s="1117"/>
      <c r="BG13" s="1117"/>
      <c r="BH13" s="1117"/>
      <c r="BI13" s="1117"/>
      <c r="BJ13" s="1117"/>
      <c r="BK13" s="1117"/>
      <c r="BL13" s="1117"/>
      <c r="BM13" s="1117"/>
      <c r="BN13" s="1117"/>
      <c r="BO13" s="1117"/>
      <c r="BP13" s="1117"/>
      <c r="BQ13" s="1117"/>
      <c r="BR13" s="1117"/>
      <c r="BS13" s="1117"/>
      <c r="BT13" s="1117"/>
      <c r="BU13" s="1117"/>
      <c r="BV13" s="1117"/>
      <c r="BW13" s="1117"/>
      <c r="BX13" s="1117"/>
      <c r="BY13" s="1117"/>
      <c r="BZ13" s="1117"/>
      <c r="CA13" s="1117"/>
      <c r="CB13" s="1117"/>
      <c r="CC13" s="1117"/>
      <c r="CD13" s="1117"/>
      <c r="CE13" s="1117"/>
      <c r="CF13" s="1117"/>
      <c r="CG13" s="1117"/>
      <c r="CH13" s="1117"/>
      <c r="CI13" s="1117"/>
      <c r="CJ13" s="1117"/>
      <c r="CK13" s="1117"/>
      <c r="CL13" s="1117"/>
      <c r="CM13" s="1117"/>
      <c r="CN13" s="1117"/>
      <c r="CO13" s="1117"/>
      <c r="CP13" s="1117"/>
      <c r="CQ13" s="1117"/>
      <c r="CR13" s="1117"/>
      <c r="CS13" s="1117"/>
    </row>
    <row r="14" spans="1:97" s="1118" customFormat="1" ht="22.5">
      <c r="A14" s="1136" t="s">
        <v>56</v>
      </c>
      <c r="B14" s="1137" t="s">
        <v>57</v>
      </c>
      <c r="C14" s="1126">
        <f>D14+E14+F14+'ОУ 2015'!G12</f>
        <v>2219124</v>
      </c>
      <c r="D14" s="1138"/>
      <c r="E14" s="1138"/>
      <c r="F14" s="1138"/>
      <c r="G14" s="1126"/>
      <c r="H14" s="1138"/>
      <c r="I14" s="1138"/>
      <c r="J14" s="1138"/>
      <c r="K14" s="1126">
        <f t="shared" si="5"/>
        <v>251437744.3470276</v>
      </c>
      <c r="L14" s="1138">
        <f>'039 2015'!M6+'ОУ 2015'!D12+'ОУ 2015'!H12+'ОУ 2015'!K12</f>
        <v>248085398.3470276</v>
      </c>
      <c r="M14" s="1138">
        <f>'ОУ 2015'!J12</f>
        <v>236783</v>
      </c>
      <c r="N14" s="1138"/>
      <c r="O14" s="1138">
        <f>'ОУ 2015'!I12</f>
        <v>3115563</v>
      </c>
      <c r="P14" s="1138"/>
      <c r="Q14" s="1126"/>
      <c r="R14" s="1138"/>
      <c r="S14" s="1138"/>
      <c r="T14" s="1138"/>
      <c r="U14" s="1133"/>
      <c r="V14" s="1138"/>
      <c r="W14" s="1138"/>
      <c r="X14" s="1138"/>
      <c r="Y14" s="1126"/>
      <c r="Z14" s="1126"/>
      <c r="AA14" s="1138"/>
      <c r="AB14" s="1138"/>
      <c r="AC14" s="1138"/>
      <c r="AD14" s="1138"/>
      <c r="AE14" s="1126"/>
      <c r="AF14" s="1138"/>
      <c r="AG14" s="1138"/>
      <c r="AH14" s="1138"/>
      <c r="AI14" s="1126"/>
      <c r="AJ14" s="1126"/>
      <c r="AK14" s="1126">
        <f t="shared" si="7"/>
        <v>253656868.3470276</v>
      </c>
      <c r="AL14" s="1127"/>
      <c r="AM14" s="1128"/>
      <c r="AN14" s="1117"/>
      <c r="AO14" s="1117"/>
      <c r="AP14" s="1117"/>
      <c r="AQ14" s="1117"/>
      <c r="AR14" s="1117"/>
      <c r="AS14" s="1117"/>
      <c r="AT14" s="1117"/>
      <c r="AU14" s="1117"/>
      <c r="AV14" s="1117"/>
      <c r="AW14" s="1117"/>
      <c r="AX14" s="1117"/>
      <c r="AY14" s="1117"/>
      <c r="AZ14" s="1117"/>
      <c r="BA14" s="1117"/>
      <c r="BB14" s="1117"/>
      <c r="BC14" s="1117"/>
      <c r="BD14" s="1117"/>
      <c r="BE14" s="1117"/>
      <c r="BF14" s="1117"/>
      <c r="BG14" s="1117"/>
      <c r="BH14" s="1117"/>
      <c r="BI14" s="1117"/>
      <c r="BJ14" s="1117"/>
      <c r="BK14" s="1117"/>
      <c r="BL14" s="1117"/>
      <c r="BM14" s="1117"/>
      <c r="BN14" s="1117"/>
      <c r="BO14" s="1117"/>
      <c r="BP14" s="1117"/>
      <c r="BQ14" s="1117"/>
      <c r="BR14" s="1117"/>
      <c r="BS14" s="1117"/>
      <c r="BT14" s="1117"/>
      <c r="BU14" s="1117"/>
      <c r="BV14" s="1117"/>
      <c r="BW14" s="1117"/>
      <c r="BX14" s="1117"/>
      <c r="BY14" s="1117"/>
      <c r="BZ14" s="1117"/>
      <c r="CA14" s="1117"/>
      <c r="CB14" s="1117"/>
      <c r="CC14" s="1117"/>
      <c r="CD14" s="1117"/>
      <c r="CE14" s="1117"/>
      <c r="CF14" s="1117"/>
      <c r="CG14" s="1117"/>
      <c r="CH14" s="1117"/>
      <c r="CI14" s="1117"/>
      <c r="CJ14" s="1117"/>
      <c r="CK14" s="1117"/>
      <c r="CL14" s="1117"/>
      <c r="CM14" s="1117"/>
      <c r="CN14" s="1117"/>
      <c r="CO14" s="1117"/>
      <c r="CP14" s="1117"/>
      <c r="CQ14" s="1117"/>
      <c r="CR14" s="1117"/>
      <c r="CS14" s="1117"/>
    </row>
    <row r="15" spans="1:97" s="1118" customFormat="1" ht="22.5">
      <c r="A15" s="1136" t="s">
        <v>58</v>
      </c>
      <c r="B15" s="1137" t="s">
        <v>59</v>
      </c>
      <c r="C15" s="1126">
        <f>'ОУ 2015'!G14</f>
        <v>328592</v>
      </c>
      <c r="D15" s="1138"/>
      <c r="E15" s="1138"/>
      <c r="F15" s="1138"/>
      <c r="G15" s="1126"/>
      <c r="H15" s="1138"/>
      <c r="I15" s="1138"/>
      <c r="J15" s="1138"/>
      <c r="K15" s="1126">
        <f t="shared" si="5"/>
        <v>17107758</v>
      </c>
      <c r="L15" s="1138">
        <f>'ОУ 2015'!H14</f>
        <v>343569</v>
      </c>
      <c r="M15" s="1138">
        <f>'ОУ 2015'!D14+'ОУ 2015'!J14+'ОУ 2015'!K14</f>
        <v>16711350</v>
      </c>
      <c r="N15" s="1138"/>
      <c r="O15" s="1138">
        <f>'ОУ 2015'!I14</f>
        <v>52839</v>
      </c>
      <c r="P15" s="1138"/>
      <c r="Q15" s="1126"/>
      <c r="R15" s="1138"/>
      <c r="S15" s="1138"/>
      <c r="T15" s="1138"/>
      <c r="U15" s="1133"/>
      <c r="V15" s="1138"/>
      <c r="W15" s="1138"/>
      <c r="X15" s="1138"/>
      <c r="Y15" s="1126"/>
      <c r="Z15" s="1126"/>
      <c r="AA15" s="1138"/>
      <c r="AB15" s="1138"/>
      <c r="AC15" s="1138"/>
      <c r="AD15" s="1138"/>
      <c r="AE15" s="1126"/>
      <c r="AF15" s="1138"/>
      <c r="AG15" s="1138"/>
      <c r="AH15" s="1138"/>
      <c r="AI15" s="1126"/>
      <c r="AJ15" s="1126"/>
      <c r="AK15" s="1126">
        <f t="shared" si="7"/>
        <v>17436350</v>
      </c>
      <c r="AL15" s="1127"/>
      <c r="AM15" s="1128"/>
      <c r="AN15" s="1117"/>
      <c r="AO15" s="1117"/>
      <c r="AP15" s="1117"/>
      <c r="AQ15" s="1117"/>
      <c r="AR15" s="1117"/>
      <c r="AS15" s="1117"/>
      <c r="AT15" s="1117"/>
      <c r="AU15" s="1117"/>
      <c r="AV15" s="1117"/>
      <c r="AW15" s="1117"/>
      <c r="AX15" s="1117"/>
      <c r="AY15" s="1117"/>
      <c r="AZ15" s="1117"/>
      <c r="BA15" s="1117"/>
      <c r="BB15" s="1117"/>
      <c r="BC15" s="1117"/>
      <c r="BD15" s="1117"/>
      <c r="BE15" s="1117"/>
      <c r="BF15" s="1117"/>
      <c r="BG15" s="1117"/>
      <c r="BH15" s="1117"/>
      <c r="BI15" s="1117"/>
      <c r="BJ15" s="1117"/>
      <c r="BK15" s="1117"/>
      <c r="BL15" s="1117"/>
      <c r="BM15" s="1117"/>
      <c r="BN15" s="1117"/>
      <c r="BO15" s="1117"/>
      <c r="BP15" s="1117"/>
      <c r="BQ15" s="1117"/>
      <c r="BR15" s="1117"/>
      <c r="BS15" s="1117"/>
      <c r="BT15" s="1117"/>
      <c r="BU15" s="1117"/>
      <c r="BV15" s="1117"/>
      <c r="BW15" s="1117"/>
      <c r="BX15" s="1117"/>
      <c r="BY15" s="1117"/>
      <c r="BZ15" s="1117"/>
      <c r="CA15" s="1117"/>
      <c r="CB15" s="1117"/>
      <c r="CC15" s="1117"/>
      <c r="CD15" s="1117"/>
      <c r="CE15" s="1117"/>
      <c r="CF15" s="1117"/>
      <c r="CG15" s="1117"/>
      <c r="CH15" s="1117"/>
      <c r="CI15" s="1117"/>
      <c r="CJ15" s="1117"/>
      <c r="CK15" s="1117"/>
      <c r="CL15" s="1117"/>
      <c r="CM15" s="1117"/>
      <c r="CN15" s="1117"/>
      <c r="CO15" s="1117"/>
      <c r="CP15" s="1117"/>
      <c r="CQ15" s="1117"/>
      <c r="CR15" s="1117"/>
      <c r="CS15" s="1117"/>
    </row>
    <row r="16" spans="1:97" s="1118" customFormat="1" ht="22.5">
      <c r="A16" s="1136" t="s">
        <v>60</v>
      </c>
      <c r="B16" s="1137" t="s">
        <v>61</v>
      </c>
      <c r="C16" s="1126">
        <f>'ОУ 2015'!G13</f>
        <v>1159024</v>
      </c>
      <c r="D16" s="1138"/>
      <c r="E16" s="1138"/>
      <c r="F16" s="1138"/>
      <c r="G16" s="1126"/>
      <c r="H16" s="1138"/>
      <c r="I16" s="1138"/>
      <c r="J16" s="1138"/>
      <c r="K16" s="1126">
        <f t="shared" si="5"/>
        <v>41471343.99058035</v>
      </c>
      <c r="L16" s="1138">
        <f>'ОУ 2015'!H13</f>
        <v>2166823</v>
      </c>
      <c r="M16" s="1138">
        <f>'ОУ 2015'!J13</f>
        <v>152722</v>
      </c>
      <c r="N16" s="1138">
        <f>'039 2015'!M7+'ОУ 2015'!D13</f>
        <v>32855139.990580354</v>
      </c>
      <c r="O16" s="1138">
        <f>'ОУ 2015'!I13+'ОУ 2015'!K13</f>
        <v>6296659</v>
      </c>
      <c r="P16" s="1138"/>
      <c r="Q16" s="1126"/>
      <c r="R16" s="1138"/>
      <c r="S16" s="1138"/>
      <c r="T16" s="1138"/>
      <c r="U16" s="1133"/>
      <c r="V16" s="1138"/>
      <c r="W16" s="1138"/>
      <c r="X16" s="1138"/>
      <c r="Y16" s="1126"/>
      <c r="Z16" s="1126"/>
      <c r="AA16" s="1138"/>
      <c r="AB16" s="1138"/>
      <c r="AC16" s="1138"/>
      <c r="AD16" s="1138"/>
      <c r="AE16" s="1126"/>
      <c r="AF16" s="1138"/>
      <c r="AG16" s="1138"/>
      <c r="AH16" s="1138"/>
      <c r="AI16" s="1126"/>
      <c r="AJ16" s="1126"/>
      <c r="AK16" s="1126">
        <f t="shared" si="7"/>
        <v>42630367.99058035</v>
      </c>
      <c r="AL16" s="1127"/>
      <c r="AM16" s="1128"/>
      <c r="AN16" s="1117"/>
      <c r="AO16" s="1117"/>
      <c r="AP16" s="1117"/>
      <c r="AQ16" s="1117"/>
      <c r="AR16" s="1117"/>
      <c r="AS16" s="1117"/>
      <c r="AT16" s="1117"/>
      <c r="AU16" s="1117"/>
      <c r="AV16" s="1117"/>
      <c r="AW16" s="1117"/>
      <c r="AX16" s="1117"/>
      <c r="AY16" s="1117"/>
      <c r="AZ16" s="1117"/>
      <c r="BA16" s="1117"/>
      <c r="BB16" s="1117"/>
      <c r="BC16" s="1117"/>
      <c r="BD16" s="1117"/>
      <c r="BE16" s="1117"/>
      <c r="BF16" s="1117"/>
      <c r="BG16" s="1117"/>
      <c r="BH16" s="1117"/>
      <c r="BI16" s="1117"/>
      <c r="BJ16" s="1117"/>
      <c r="BK16" s="1117"/>
      <c r="BL16" s="1117"/>
      <c r="BM16" s="1117"/>
      <c r="BN16" s="1117"/>
      <c r="BO16" s="1117"/>
      <c r="BP16" s="1117"/>
      <c r="BQ16" s="1117"/>
      <c r="BR16" s="1117"/>
      <c r="BS16" s="1117"/>
      <c r="BT16" s="1117"/>
      <c r="BU16" s="1117"/>
      <c r="BV16" s="1117"/>
      <c r="BW16" s="1117"/>
      <c r="BX16" s="1117"/>
      <c r="BY16" s="1117"/>
      <c r="BZ16" s="1117"/>
      <c r="CA16" s="1117"/>
      <c r="CB16" s="1117"/>
      <c r="CC16" s="1117"/>
      <c r="CD16" s="1117"/>
      <c r="CE16" s="1117"/>
      <c r="CF16" s="1117"/>
      <c r="CG16" s="1117"/>
      <c r="CH16" s="1117"/>
      <c r="CI16" s="1117"/>
      <c r="CJ16" s="1117"/>
      <c r="CK16" s="1117"/>
      <c r="CL16" s="1117"/>
      <c r="CM16" s="1117"/>
      <c r="CN16" s="1117"/>
      <c r="CO16" s="1117"/>
      <c r="CP16" s="1117"/>
      <c r="CQ16" s="1117"/>
      <c r="CR16" s="1117"/>
      <c r="CS16" s="1117"/>
    </row>
    <row r="17" spans="1:97" s="1118" customFormat="1" ht="33.75">
      <c r="A17" s="1139" t="s">
        <v>1872</v>
      </c>
      <c r="B17" s="1140" t="s">
        <v>1873</v>
      </c>
      <c r="C17" s="1126"/>
      <c r="D17" s="1138"/>
      <c r="E17" s="1138"/>
      <c r="F17" s="1138"/>
      <c r="G17" s="1126"/>
      <c r="H17" s="1138"/>
      <c r="I17" s="1138"/>
      <c r="J17" s="1138"/>
      <c r="K17" s="1126">
        <f t="shared" si="5"/>
        <v>28846418.861299999</v>
      </c>
      <c r="L17" s="1138"/>
      <c r="M17" s="1138"/>
      <c r="N17" s="1138">
        <f>'HF-HC'!D48+'HF-HC'!F48+'HF-HC'!M48+'HF-HC'!I18</f>
        <v>28846418.861299999</v>
      </c>
      <c r="O17" s="1138"/>
      <c r="P17" s="1138"/>
      <c r="Q17" s="1126">
        <f t="shared" si="6"/>
        <v>0</v>
      </c>
      <c r="R17" s="1138"/>
      <c r="S17" s="1138"/>
      <c r="T17" s="1138"/>
      <c r="U17" s="1133"/>
      <c r="V17" s="1138"/>
      <c r="W17" s="1138"/>
      <c r="X17" s="1138"/>
      <c r="Y17" s="1126"/>
      <c r="Z17" s="1126"/>
      <c r="AA17" s="1138"/>
      <c r="AB17" s="1138"/>
      <c r="AC17" s="1138"/>
      <c r="AD17" s="1138"/>
      <c r="AE17" s="1126"/>
      <c r="AF17" s="1138"/>
      <c r="AG17" s="1138"/>
      <c r="AH17" s="1138"/>
      <c r="AI17" s="1126"/>
      <c r="AJ17" s="1126"/>
      <c r="AK17" s="1126">
        <f t="shared" si="7"/>
        <v>28846418.861299999</v>
      </c>
      <c r="AL17" s="1127"/>
      <c r="AM17" s="1128"/>
      <c r="AN17" s="1117"/>
      <c r="AO17" s="1117"/>
      <c r="AP17" s="1117"/>
      <c r="AQ17" s="1117"/>
      <c r="AR17" s="1117"/>
      <c r="AS17" s="1117"/>
      <c r="AT17" s="1117"/>
      <c r="AU17" s="1117"/>
      <c r="AV17" s="1117"/>
      <c r="AW17" s="1117"/>
      <c r="AX17" s="1117"/>
      <c r="AY17" s="1117"/>
      <c r="AZ17" s="1117"/>
      <c r="BA17" s="1117"/>
      <c r="BB17" s="1117"/>
      <c r="BC17" s="1117"/>
      <c r="BD17" s="1117"/>
      <c r="BE17" s="1117"/>
      <c r="BF17" s="1117"/>
      <c r="BG17" s="1117"/>
      <c r="BH17" s="1117"/>
      <c r="BI17" s="1117"/>
      <c r="BJ17" s="1117"/>
      <c r="BK17" s="1117"/>
      <c r="BL17" s="1117"/>
      <c r="BM17" s="1117"/>
      <c r="BN17" s="1117"/>
      <c r="BO17" s="1117"/>
      <c r="BP17" s="1117"/>
      <c r="BQ17" s="1117"/>
      <c r="BR17" s="1117"/>
      <c r="BS17" s="1117"/>
      <c r="BT17" s="1117"/>
      <c r="BU17" s="1117"/>
      <c r="BV17" s="1117"/>
      <c r="BW17" s="1117"/>
      <c r="BX17" s="1117"/>
      <c r="BY17" s="1117"/>
      <c r="BZ17" s="1117"/>
      <c r="CA17" s="1117"/>
      <c r="CB17" s="1117"/>
      <c r="CC17" s="1117"/>
      <c r="CD17" s="1117"/>
      <c r="CE17" s="1117"/>
      <c r="CF17" s="1117"/>
      <c r="CG17" s="1117"/>
      <c r="CH17" s="1117"/>
      <c r="CI17" s="1117"/>
      <c r="CJ17" s="1117"/>
      <c r="CK17" s="1117"/>
      <c r="CL17" s="1117"/>
      <c r="CM17" s="1117"/>
      <c r="CN17" s="1117"/>
      <c r="CO17" s="1117"/>
      <c r="CP17" s="1117"/>
      <c r="CQ17" s="1117"/>
      <c r="CR17" s="1117"/>
      <c r="CS17" s="1117"/>
    </row>
    <row r="18" spans="1:97" s="1118" customFormat="1" ht="22.5">
      <c r="A18" s="1141" t="s">
        <v>1900</v>
      </c>
      <c r="B18" s="1135" t="s">
        <v>1939</v>
      </c>
      <c r="C18" s="1126"/>
      <c r="D18" s="1132"/>
      <c r="E18" s="1132"/>
      <c r="F18" s="1132"/>
      <c r="G18" s="1126"/>
      <c r="H18" s="1132"/>
      <c r="I18" s="1132"/>
      <c r="J18" s="1132"/>
      <c r="K18" s="1126"/>
      <c r="L18" s="1132"/>
      <c r="M18" s="1132"/>
      <c r="N18" s="1132"/>
      <c r="O18" s="1132"/>
      <c r="P18" s="1132"/>
      <c r="Q18" s="1126"/>
      <c r="R18" s="1132"/>
      <c r="S18" s="1132"/>
      <c r="T18" s="1132"/>
      <c r="U18" s="1133"/>
      <c r="V18" s="1132"/>
      <c r="W18" s="1132"/>
      <c r="X18" s="1132"/>
      <c r="Y18" s="1126"/>
      <c r="Z18" s="1126"/>
      <c r="AA18" s="1132"/>
      <c r="AB18" s="1132"/>
      <c r="AC18" s="1132"/>
      <c r="AD18" s="1132"/>
      <c r="AE18" s="1126"/>
      <c r="AF18" s="1132"/>
      <c r="AG18" s="1132"/>
      <c r="AH18" s="1132"/>
      <c r="AI18" s="1126"/>
      <c r="AJ18" s="1126"/>
      <c r="AK18" s="1126"/>
      <c r="AL18" s="1127"/>
      <c r="AM18" s="1128"/>
      <c r="AN18" s="1117"/>
      <c r="AO18" s="1117"/>
      <c r="AP18" s="1117"/>
      <c r="AQ18" s="1117"/>
      <c r="AR18" s="1117"/>
      <c r="AS18" s="1117"/>
      <c r="AT18" s="1117"/>
      <c r="AU18" s="1117"/>
      <c r="AV18" s="1117"/>
      <c r="AW18" s="1117"/>
      <c r="AX18" s="1117"/>
      <c r="AY18" s="1117"/>
      <c r="AZ18" s="1117"/>
      <c r="BA18" s="1117"/>
      <c r="BB18" s="1117"/>
      <c r="BC18" s="1117"/>
      <c r="BD18" s="1117"/>
      <c r="BE18" s="1117"/>
      <c r="BF18" s="1117"/>
      <c r="BG18" s="1117"/>
      <c r="BH18" s="1117"/>
      <c r="BI18" s="1117"/>
      <c r="BJ18" s="1117"/>
      <c r="BK18" s="1117"/>
      <c r="BL18" s="1117"/>
      <c r="BM18" s="1117"/>
      <c r="BN18" s="1117"/>
      <c r="BO18" s="1117"/>
      <c r="BP18" s="1117"/>
      <c r="BQ18" s="1117"/>
      <c r="BR18" s="1117"/>
      <c r="BS18" s="1117"/>
      <c r="BT18" s="1117"/>
      <c r="BU18" s="1117"/>
      <c r="BV18" s="1117"/>
      <c r="BW18" s="1117"/>
      <c r="BX18" s="1117"/>
      <c r="BY18" s="1117"/>
      <c r="BZ18" s="1117"/>
      <c r="CA18" s="1117"/>
      <c r="CB18" s="1117"/>
      <c r="CC18" s="1117"/>
      <c r="CD18" s="1117"/>
      <c r="CE18" s="1117"/>
      <c r="CF18" s="1117"/>
      <c r="CG18" s="1117"/>
      <c r="CH18" s="1117"/>
      <c r="CI18" s="1117"/>
      <c r="CJ18" s="1117"/>
      <c r="CK18" s="1117"/>
      <c r="CL18" s="1117"/>
      <c r="CM18" s="1117"/>
      <c r="CN18" s="1117"/>
      <c r="CO18" s="1117"/>
      <c r="CP18" s="1117"/>
      <c r="CQ18" s="1117"/>
      <c r="CR18" s="1117"/>
      <c r="CS18" s="1117"/>
    </row>
    <row r="19" spans="1:97" s="1118" customFormat="1" ht="22.5">
      <c r="A19" s="1142" t="s">
        <v>1904</v>
      </c>
      <c r="B19" s="1122" t="s">
        <v>1905</v>
      </c>
      <c r="C19" s="1123"/>
      <c r="D19" s="1123"/>
      <c r="E19" s="1123"/>
      <c r="F19" s="1123"/>
      <c r="G19" s="1123"/>
      <c r="H19" s="1123"/>
      <c r="I19" s="1123"/>
      <c r="J19" s="1123"/>
      <c r="K19" s="1123"/>
      <c r="L19" s="1123"/>
      <c r="M19" s="1123"/>
      <c r="N19" s="1123"/>
      <c r="O19" s="1123"/>
      <c r="P19" s="1123"/>
      <c r="Q19" s="1123"/>
      <c r="R19" s="1123"/>
      <c r="S19" s="1123"/>
      <c r="T19" s="1123"/>
      <c r="U19" s="1123"/>
      <c r="V19" s="1123"/>
      <c r="W19" s="1123"/>
      <c r="X19" s="1123"/>
      <c r="Y19" s="1123"/>
      <c r="Z19" s="1123"/>
      <c r="AA19" s="1123"/>
      <c r="AB19" s="1123"/>
      <c r="AC19" s="1123"/>
      <c r="AD19" s="1123"/>
      <c r="AE19" s="1123"/>
      <c r="AF19" s="1123"/>
      <c r="AG19" s="1123"/>
      <c r="AH19" s="1123"/>
      <c r="AI19" s="1123"/>
      <c r="AJ19" s="1123"/>
      <c r="AK19" s="1123"/>
      <c r="AL19" s="1127"/>
      <c r="AM19" s="1128"/>
      <c r="AN19" s="1117"/>
      <c r="AO19" s="1117"/>
      <c r="AP19" s="1117"/>
      <c r="AQ19" s="1117"/>
      <c r="AR19" s="1117"/>
      <c r="AS19" s="1117"/>
      <c r="AT19" s="1117"/>
      <c r="AU19" s="1117"/>
      <c r="AV19" s="1117"/>
      <c r="AW19" s="1117"/>
      <c r="AX19" s="1117"/>
      <c r="AY19" s="1117"/>
      <c r="AZ19" s="1117"/>
      <c r="BA19" s="1117"/>
      <c r="BB19" s="1117"/>
      <c r="BC19" s="1117"/>
      <c r="BD19" s="1117"/>
      <c r="BE19" s="1117"/>
      <c r="BF19" s="1117"/>
      <c r="BG19" s="1117"/>
      <c r="BH19" s="1117"/>
      <c r="BI19" s="1117"/>
      <c r="BJ19" s="1117"/>
      <c r="BK19" s="1117"/>
      <c r="BL19" s="1117"/>
      <c r="BM19" s="1117"/>
      <c r="BN19" s="1117"/>
      <c r="BO19" s="1117"/>
      <c r="BP19" s="1117"/>
      <c r="BQ19" s="1117"/>
      <c r="BR19" s="1117"/>
      <c r="BS19" s="1117"/>
      <c r="BT19" s="1117"/>
      <c r="BU19" s="1117"/>
      <c r="BV19" s="1117"/>
      <c r="BW19" s="1117"/>
      <c r="BX19" s="1117"/>
      <c r="BY19" s="1117"/>
      <c r="BZ19" s="1117"/>
      <c r="CA19" s="1117"/>
      <c r="CB19" s="1117"/>
      <c r="CC19" s="1117"/>
      <c r="CD19" s="1117"/>
      <c r="CE19" s="1117"/>
      <c r="CF19" s="1117"/>
      <c r="CG19" s="1117"/>
      <c r="CH19" s="1117"/>
      <c r="CI19" s="1117"/>
      <c r="CJ19" s="1117"/>
      <c r="CK19" s="1117"/>
      <c r="CL19" s="1117"/>
      <c r="CM19" s="1117"/>
      <c r="CN19" s="1117"/>
      <c r="CO19" s="1117"/>
      <c r="CP19" s="1117"/>
      <c r="CQ19" s="1117"/>
      <c r="CR19" s="1117"/>
      <c r="CS19" s="1117"/>
    </row>
    <row r="20" spans="1:97" s="1118" customFormat="1">
      <c r="A20" s="1141" t="s">
        <v>1902</v>
      </c>
      <c r="B20" s="1135" t="s">
        <v>1903</v>
      </c>
      <c r="C20" s="1126"/>
      <c r="D20" s="1132"/>
      <c r="E20" s="1132"/>
      <c r="F20" s="1132"/>
      <c r="G20" s="1126"/>
      <c r="H20" s="1132"/>
      <c r="I20" s="1132"/>
      <c r="J20" s="1132"/>
      <c r="K20" s="1126"/>
      <c r="L20" s="1132"/>
      <c r="M20" s="1132"/>
      <c r="N20" s="1132"/>
      <c r="O20" s="1132"/>
      <c r="P20" s="1132"/>
      <c r="Q20" s="1126"/>
      <c r="R20" s="1132"/>
      <c r="S20" s="1132"/>
      <c r="T20" s="1132"/>
      <c r="U20" s="1133"/>
      <c r="V20" s="1132"/>
      <c r="W20" s="1132"/>
      <c r="X20" s="1132"/>
      <c r="Y20" s="1126"/>
      <c r="Z20" s="1126"/>
      <c r="AA20" s="1132"/>
      <c r="AB20" s="1132"/>
      <c r="AC20" s="1132"/>
      <c r="AD20" s="1132"/>
      <c r="AE20" s="1126"/>
      <c r="AF20" s="1132"/>
      <c r="AG20" s="1132"/>
      <c r="AH20" s="1132"/>
      <c r="AI20" s="1126"/>
      <c r="AJ20" s="1126"/>
      <c r="AK20" s="1126"/>
      <c r="AL20" s="1127"/>
      <c r="AM20" s="1128"/>
      <c r="AN20" s="1117"/>
      <c r="AO20" s="1117"/>
      <c r="AP20" s="1117"/>
      <c r="AQ20" s="1117"/>
      <c r="AR20" s="1117"/>
      <c r="AS20" s="1117"/>
      <c r="AT20" s="1117"/>
      <c r="AU20" s="1117"/>
      <c r="AV20" s="1117"/>
      <c r="AW20" s="1117"/>
      <c r="AX20" s="1117"/>
      <c r="AY20" s="1117"/>
      <c r="AZ20" s="1117"/>
      <c r="BA20" s="1117"/>
      <c r="BB20" s="1117"/>
      <c r="BC20" s="1117"/>
      <c r="BD20" s="1117"/>
      <c r="BE20" s="1117"/>
      <c r="BF20" s="1117"/>
      <c r="BG20" s="1117"/>
      <c r="BH20" s="1117"/>
      <c r="BI20" s="1117"/>
      <c r="BJ20" s="1117"/>
      <c r="BK20" s="1117"/>
      <c r="BL20" s="1117"/>
      <c r="BM20" s="1117"/>
      <c r="BN20" s="1117"/>
      <c r="BO20" s="1117"/>
      <c r="BP20" s="1117"/>
      <c r="BQ20" s="1117"/>
      <c r="BR20" s="1117"/>
      <c r="BS20" s="1117"/>
      <c r="BT20" s="1117"/>
      <c r="BU20" s="1117"/>
      <c r="BV20" s="1117"/>
      <c r="BW20" s="1117"/>
      <c r="BX20" s="1117"/>
      <c r="BY20" s="1117"/>
      <c r="BZ20" s="1117"/>
      <c r="CA20" s="1117"/>
      <c r="CB20" s="1117"/>
      <c r="CC20" s="1117"/>
      <c r="CD20" s="1117"/>
      <c r="CE20" s="1117"/>
      <c r="CF20" s="1117"/>
      <c r="CG20" s="1117"/>
      <c r="CH20" s="1117"/>
      <c r="CI20" s="1117"/>
      <c r="CJ20" s="1117"/>
      <c r="CK20" s="1117"/>
      <c r="CL20" s="1117"/>
      <c r="CM20" s="1117"/>
      <c r="CN20" s="1117"/>
      <c r="CO20" s="1117"/>
      <c r="CP20" s="1117"/>
      <c r="CQ20" s="1117"/>
      <c r="CR20" s="1117"/>
      <c r="CS20" s="1117"/>
    </row>
    <row r="21" spans="1:97" s="1118" customFormat="1" ht="22.5">
      <c r="A21" s="1141" t="s">
        <v>1901</v>
      </c>
      <c r="B21" s="1135" t="s">
        <v>1914</v>
      </c>
      <c r="C21" s="1126"/>
      <c r="D21" s="1132"/>
      <c r="E21" s="1132"/>
      <c r="F21" s="1132"/>
      <c r="G21" s="1126"/>
      <c r="H21" s="1132"/>
      <c r="I21" s="1132"/>
      <c r="J21" s="1132"/>
      <c r="K21" s="1126"/>
      <c r="L21" s="1132"/>
      <c r="M21" s="1132"/>
      <c r="N21" s="1132"/>
      <c r="O21" s="1132"/>
      <c r="P21" s="1132"/>
      <c r="Q21" s="1126"/>
      <c r="R21" s="1132"/>
      <c r="S21" s="1132"/>
      <c r="T21" s="1132"/>
      <c r="U21" s="1133"/>
      <c r="V21" s="1132"/>
      <c r="W21" s="1132"/>
      <c r="X21" s="1132"/>
      <c r="Y21" s="1126"/>
      <c r="Z21" s="1126"/>
      <c r="AA21" s="1132"/>
      <c r="AB21" s="1132"/>
      <c r="AC21" s="1132"/>
      <c r="AD21" s="1132"/>
      <c r="AE21" s="1126"/>
      <c r="AF21" s="1132"/>
      <c r="AG21" s="1132"/>
      <c r="AH21" s="1132"/>
      <c r="AI21" s="1126"/>
      <c r="AJ21" s="1126"/>
      <c r="AK21" s="1126"/>
      <c r="AL21" s="1127"/>
      <c r="AM21" s="1128"/>
      <c r="AN21" s="1117"/>
      <c r="AO21" s="1117"/>
      <c r="AP21" s="1117"/>
      <c r="AQ21" s="1117"/>
      <c r="AR21" s="1117"/>
      <c r="AS21" s="1117"/>
      <c r="AT21" s="1117"/>
      <c r="AU21" s="1117"/>
      <c r="AV21" s="1117"/>
      <c r="AW21" s="1117"/>
      <c r="AX21" s="1117"/>
      <c r="AY21" s="1117"/>
      <c r="AZ21" s="1117"/>
      <c r="BA21" s="1117"/>
      <c r="BB21" s="1117"/>
      <c r="BC21" s="1117"/>
      <c r="BD21" s="1117"/>
      <c r="BE21" s="1117"/>
      <c r="BF21" s="1117"/>
      <c r="BG21" s="1117"/>
      <c r="BH21" s="1117"/>
      <c r="BI21" s="1117"/>
      <c r="BJ21" s="1117"/>
      <c r="BK21" s="1117"/>
      <c r="BL21" s="1117"/>
      <c r="BM21" s="1117"/>
      <c r="BN21" s="1117"/>
      <c r="BO21" s="1117"/>
      <c r="BP21" s="1117"/>
      <c r="BQ21" s="1117"/>
      <c r="BR21" s="1117"/>
      <c r="BS21" s="1117"/>
      <c r="BT21" s="1117"/>
      <c r="BU21" s="1117"/>
      <c r="BV21" s="1117"/>
      <c r="BW21" s="1117"/>
      <c r="BX21" s="1117"/>
      <c r="BY21" s="1117"/>
      <c r="BZ21" s="1117"/>
      <c r="CA21" s="1117"/>
      <c r="CB21" s="1117"/>
      <c r="CC21" s="1117"/>
      <c r="CD21" s="1117"/>
      <c r="CE21" s="1117"/>
      <c r="CF21" s="1117"/>
      <c r="CG21" s="1117"/>
      <c r="CH21" s="1117"/>
      <c r="CI21" s="1117"/>
      <c r="CJ21" s="1117"/>
      <c r="CK21" s="1117"/>
      <c r="CL21" s="1117"/>
      <c r="CM21" s="1117"/>
      <c r="CN21" s="1117"/>
      <c r="CO21" s="1117"/>
      <c r="CP21" s="1117"/>
      <c r="CQ21" s="1117"/>
      <c r="CR21" s="1117"/>
      <c r="CS21" s="1117"/>
    </row>
    <row r="22" spans="1:97" s="1118" customFormat="1" ht="22.5">
      <c r="A22" s="1125" t="s">
        <v>66</v>
      </c>
      <c r="B22" s="1125" t="s">
        <v>67</v>
      </c>
      <c r="C22" s="1126">
        <f>C23+C24+C25+C26</f>
        <v>170307</v>
      </c>
      <c r="D22" s="1126"/>
      <c r="E22" s="1126"/>
      <c r="F22" s="1126"/>
      <c r="G22" s="1126">
        <f>H22</f>
        <v>269179.99199999997</v>
      </c>
      <c r="H22" s="1126">
        <f>'ГБ 2015'!V76+H23+H24+H25+H26</f>
        <v>269179.99199999997</v>
      </c>
      <c r="I22" s="1126"/>
      <c r="J22" s="1126"/>
      <c r="K22" s="1126">
        <f>L22+M22+N22+O22+P22</f>
        <v>20886</v>
      </c>
      <c r="L22" s="1126">
        <f>L23+L24+L25+L26</f>
        <v>20886</v>
      </c>
      <c r="M22" s="1126">
        <f t="shared" ref="M22:P22" si="8">M23+M24+M25+M26</f>
        <v>0</v>
      </c>
      <c r="N22" s="1126">
        <f t="shared" si="8"/>
        <v>0</v>
      </c>
      <c r="O22" s="1126">
        <f t="shared" si="8"/>
        <v>0</v>
      </c>
      <c r="P22" s="1126">
        <f t="shared" si="8"/>
        <v>0</v>
      </c>
      <c r="Q22" s="1126"/>
      <c r="R22" s="1126"/>
      <c r="S22" s="1126"/>
      <c r="T22" s="1126"/>
      <c r="U22" s="1126"/>
      <c r="V22" s="1126"/>
      <c r="W22" s="1126"/>
      <c r="X22" s="1126"/>
      <c r="Y22" s="1126"/>
      <c r="Z22" s="1126"/>
      <c r="AA22" s="1126"/>
      <c r="AB22" s="1126"/>
      <c r="AC22" s="1126"/>
      <c r="AD22" s="1126"/>
      <c r="AE22" s="1126"/>
      <c r="AF22" s="1126"/>
      <c r="AG22" s="1126"/>
      <c r="AH22" s="1126"/>
      <c r="AI22" s="1126"/>
      <c r="AJ22" s="1126"/>
      <c r="AK22" s="1126">
        <f t="shared" ref="AK22:AK39" si="9">C22+G22+K22+Q22+U22+Y22+Z22+AE22+AI22+AJ22</f>
        <v>460372.99199999997</v>
      </c>
      <c r="AL22" s="1127"/>
      <c r="AM22" s="1128"/>
      <c r="AN22" s="1117"/>
      <c r="AO22" s="1117"/>
      <c r="AP22" s="1117"/>
      <c r="AQ22" s="1117"/>
      <c r="AR22" s="1117"/>
      <c r="AS22" s="1117"/>
      <c r="AT22" s="1117"/>
      <c r="AU22" s="1117"/>
      <c r="AV22" s="1117"/>
      <c r="AW22" s="1117"/>
      <c r="AX22" s="1117"/>
      <c r="AY22" s="1117"/>
      <c r="AZ22" s="1117"/>
      <c r="BA22" s="1117"/>
      <c r="BB22" s="1117"/>
      <c r="BC22" s="1117"/>
      <c r="BD22" s="1117"/>
      <c r="BE22" s="1117"/>
      <c r="BF22" s="1117"/>
      <c r="BG22" s="1117"/>
      <c r="BH22" s="1117"/>
      <c r="BI22" s="1117"/>
      <c r="BJ22" s="1117"/>
      <c r="BK22" s="1117"/>
      <c r="BL22" s="1117"/>
      <c r="BM22" s="1117"/>
      <c r="BN22" s="1117"/>
      <c r="BO22" s="1117"/>
      <c r="BP22" s="1117"/>
      <c r="BQ22" s="1117"/>
      <c r="BR22" s="1117"/>
      <c r="BS22" s="1117"/>
      <c r="BT22" s="1117"/>
      <c r="BU22" s="1117"/>
      <c r="BV22" s="1117"/>
      <c r="BW22" s="1117"/>
      <c r="BX22" s="1117"/>
      <c r="BY22" s="1117"/>
      <c r="BZ22" s="1117"/>
      <c r="CA22" s="1117"/>
      <c r="CB22" s="1117"/>
      <c r="CC22" s="1117"/>
      <c r="CD22" s="1117"/>
      <c r="CE22" s="1117"/>
      <c r="CF22" s="1117"/>
      <c r="CG22" s="1117"/>
      <c r="CH22" s="1117"/>
      <c r="CI22" s="1117"/>
      <c r="CJ22" s="1117"/>
      <c r="CK22" s="1117"/>
      <c r="CL22" s="1117"/>
      <c r="CM22" s="1117"/>
      <c r="CN22" s="1117"/>
      <c r="CO22" s="1117"/>
      <c r="CP22" s="1117"/>
      <c r="CQ22" s="1117"/>
      <c r="CR22" s="1117"/>
      <c r="CS22" s="1117"/>
    </row>
    <row r="23" spans="1:97" s="1118" customFormat="1" ht="22.5">
      <c r="A23" s="1134" t="s">
        <v>1906</v>
      </c>
      <c r="B23" s="1135" t="s">
        <v>1915</v>
      </c>
      <c r="C23" s="1126">
        <f>'ОУ 2015'!C18+'ОУ 2015'!C19+'ОУ 2015'!C20</f>
        <v>170307</v>
      </c>
      <c r="D23" s="1132"/>
      <c r="E23" s="1132"/>
      <c r="F23" s="1132"/>
      <c r="G23" s="1126"/>
      <c r="H23" s="1132"/>
      <c r="I23" s="1132"/>
      <c r="J23" s="1132"/>
      <c r="K23" s="1126"/>
      <c r="L23" s="1132">
        <f>'ОУ 2015'!C23</f>
        <v>20886</v>
      </c>
      <c r="M23" s="1132"/>
      <c r="N23" s="1132"/>
      <c r="O23" s="1132"/>
      <c r="P23" s="1132"/>
      <c r="Q23" s="1126"/>
      <c r="R23" s="1132"/>
      <c r="S23" s="1132"/>
      <c r="T23" s="1132"/>
      <c r="U23" s="1133"/>
      <c r="V23" s="1132"/>
      <c r="W23" s="1132"/>
      <c r="X23" s="1132"/>
      <c r="Y23" s="1126"/>
      <c r="Z23" s="1126"/>
      <c r="AA23" s="1132"/>
      <c r="AB23" s="1132"/>
      <c r="AC23" s="1132"/>
      <c r="AD23" s="1132"/>
      <c r="AE23" s="1126"/>
      <c r="AF23" s="1132"/>
      <c r="AG23" s="1132"/>
      <c r="AH23" s="1132"/>
      <c r="AI23" s="1126"/>
      <c r="AJ23" s="1126"/>
      <c r="AK23" s="1126"/>
      <c r="AL23" s="1127"/>
      <c r="AM23" s="1128"/>
      <c r="AN23" s="1117"/>
      <c r="AO23" s="1117"/>
      <c r="AP23" s="1117"/>
      <c r="AQ23" s="1117"/>
      <c r="AR23" s="1117"/>
      <c r="AS23" s="1117"/>
      <c r="AT23" s="1117"/>
      <c r="AU23" s="1117"/>
      <c r="AV23" s="1117"/>
      <c r="AW23" s="1117"/>
      <c r="AX23" s="1117"/>
      <c r="AY23" s="1117"/>
      <c r="AZ23" s="1117"/>
      <c r="BA23" s="1117"/>
      <c r="BB23" s="1117"/>
      <c r="BC23" s="1117"/>
      <c r="BD23" s="1117"/>
      <c r="BE23" s="1117"/>
      <c r="BF23" s="1117"/>
      <c r="BG23" s="1117"/>
      <c r="BH23" s="1117"/>
      <c r="BI23" s="1117"/>
      <c r="BJ23" s="1117"/>
      <c r="BK23" s="1117"/>
      <c r="BL23" s="1117"/>
      <c r="BM23" s="1117"/>
      <c r="BN23" s="1117"/>
      <c r="BO23" s="1117"/>
      <c r="BP23" s="1117"/>
      <c r="BQ23" s="1117"/>
      <c r="BR23" s="1117"/>
      <c r="BS23" s="1117"/>
      <c r="BT23" s="1117"/>
      <c r="BU23" s="1117"/>
      <c r="BV23" s="1117"/>
      <c r="BW23" s="1117"/>
      <c r="BX23" s="1117"/>
      <c r="BY23" s="1117"/>
      <c r="BZ23" s="1117"/>
      <c r="CA23" s="1117"/>
      <c r="CB23" s="1117"/>
      <c r="CC23" s="1117"/>
      <c r="CD23" s="1117"/>
      <c r="CE23" s="1117"/>
      <c r="CF23" s="1117"/>
      <c r="CG23" s="1117"/>
      <c r="CH23" s="1117"/>
      <c r="CI23" s="1117"/>
      <c r="CJ23" s="1117"/>
      <c r="CK23" s="1117"/>
      <c r="CL23" s="1117"/>
      <c r="CM23" s="1117"/>
      <c r="CN23" s="1117"/>
      <c r="CO23" s="1117"/>
      <c r="CP23" s="1117"/>
      <c r="CQ23" s="1117"/>
      <c r="CR23" s="1117"/>
      <c r="CS23" s="1117"/>
    </row>
    <row r="24" spans="1:97" s="1118" customFormat="1" ht="22.5">
      <c r="A24" s="1134" t="s">
        <v>1907</v>
      </c>
      <c r="B24" s="1135" t="s">
        <v>1916</v>
      </c>
      <c r="C24" s="1126"/>
      <c r="D24" s="1132"/>
      <c r="E24" s="1132"/>
      <c r="F24" s="1132"/>
      <c r="G24" s="1126"/>
      <c r="H24" s="1132"/>
      <c r="I24" s="1132"/>
      <c r="J24" s="1132"/>
      <c r="K24" s="1126"/>
      <c r="L24" s="1132"/>
      <c r="M24" s="1132"/>
      <c r="N24" s="1132"/>
      <c r="O24" s="1132"/>
      <c r="P24" s="1132"/>
      <c r="Q24" s="1126"/>
      <c r="R24" s="1132"/>
      <c r="S24" s="1132"/>
      <c r="T24" s="1132"/>
      <c r="U24" s="1133"/>
      <c r="V24" s="1132"/>
      <c r="W24" s="1132"/>
      <c r="X24" s="1132"/>
      <c r="Y24" s="1126"/>
      <c r="Z24" s="1126"/>
      <c r="AA24" s="1132"/>
      <c r="AB24" s="1132"/>
      <c r="AC24" s="1132"/>
      <c r="AD24" s="1132"/>
      <c r="AE24" s="1126"/>
      <c r="AF24" s="1132"/>
      <c r="AG24" s="1132"/>
      <c r="AH24" s="1132"/>
      <c r="AI24" s="1126"/>
      <c r="AJ24" s="1126"/>
      <c r="AK24" s="1126"/>
      <c r="AL24" s="1127"/>
      <c r="AM24" s="1128"/>
      <c r="AN24" s="1117"/>
      <c r="AO24" s="1117"/>
      <c r="AP24" s="1117"/>
      <c r="AQ24" s="1117"/>
      <c r="AR24" s="1117"/>
      <c r="AS24" s="1117"/>
      <c r="AT24" s="1117"/>
      <c r="AU24" s="1117"/>
      <c r="AV24" s="1117"/>
      <c r="AW24" s="1117"/>
      <c r="AX24" s="1117"/>
      <c r="AY24" s="1117"/>
      <c r="AZ24" s="1117"/>
      <c r="BA24" s="1117"/>
      <c r="BB24" s="1117"/>
      <c r="BC24" s="1117"/>
      <c r="BD24" s="1117"/>
      <c r="BE24" s="1117"/>
      <c r="BF24" s="1117"/>
      <c r="BG24" s="1117"/>
      <c r="BH24" s="1117"/>
      <c r="BI24" s="1117"/>
      <c r="BJ24" s="1117"/>
      <c r="BK24" s="1117"/>
      <c r="BL24" s="1117"/>
      <c r="BM24" s="1117"/>
      <c r="BN24" s="1117"/>
      <c r="BO24" s="1117"/>
      <c r="BP24" s="1117"/>
      <c r="BQ24" s="1117"/>
      <c r="BR24" s="1117"/>
      <c r="BS24" s="1117"/>
      <c r="BT24" s="1117"/>
      <c r="BU24" s="1117"/>
      <c r="BV24" s="1117"/>
      <c r="BW24" s="1117"/>
      <c r="BX24" s="1117"/>
      <c r="BY24" s="1117"/>
      <c r="BZ24" s="1117"/>
      <c r="CA24" s="1117"/>
      <c r="CB24" s="1117"/>
      <c r="CC24" s="1117"/>
      <c r="CD24" s="1117"/>
      <c r="CE24" s="1117"/>
      <c r="CF24" s="1117"/>
      <c r="CG24" s="1117"/>
      <c r="CH24" s="1117"/>
      <c r="CI24" s="1117"/>
      <c r="CJ24" s="1117"/>
      <c r="CK24" s="1117"/>
      <c r="CL24" s="1117"/>
      <c r="CM24" s="1117"/>
      <c r="CN24" s="1117"/>
      <c r="CO24" s="1117"/>
      <c r="CP24" s="1117"/>
      <c r="CQ24" s="1117"/>
      <c r="CR24" s="1117"/>
      <c r="CS24" s="1117"/>
    </row>
    <row r="25" spans="1:97" s="1118" customFormat="1" ht="22.5">
      <c r="A25" s="1134" t="s">
        <v>1908</v>
      </c>
      <c r="B25" s="1135" t="s">
        <v>1917</v>
      </c>
      <c r="C25" s="1126"/>
      <c r="D25" s="1132"/>
      <c r="E25" s="1132"/>
      <c r="F25" s="1132"/>
      <c r="G25" s="1126"/>
      <c r="H25" s="1132"/>
      <c r="I25" s="1132"/>
      <c r="J25" s="1132"/>
      <c r="K25" s="1126"/>
      <c r="L25" s="1132"/>
      <c r="M25" s="1132"/>
      <c r="N25" s="1132"/>
      <c r="O25" s="1132"/>
      <c r="P25" s="1132"/>
      <c r="Q25" s="1126"/>
      <c r="R25" s="1132"/>
      <c r="S25" s="1132"/>
      <c r="T25" s="1132"/>
      <c r="U25" s="1133"/>
      <c r="V25" s="1132"/>
      <c r="W25" s="1132"/>
      <c r="X25" s="1132"/>
      <c r="Y25" s="1126"/>
      <c r="Z25" s="1126"/>
      <c r="AA25" s="1132"/>
      <c r="AB25" s="1132"/>
      <c r="AC25" s="1132"/>
      <c r="AD25" s="1132"/>
      <c r="AE25" s="1126"/>
      <c r="AF25" s="1132"/>
      <c r="AG25" s="1132"/>
      <c r="AH25" s="1132"/>
      <c r="AI25" s="1126"/>
      <c r="AJ25" s="1126"/>
      <c r="AK25" s="1126"/>
      <c r="AL25" s="1127"/>
      <c r="AM25" s="1128"/>
      <c r="AN25" s="1117"/>
      <c r="AO25" s="1117"/>
      <c r="AP25" s="1117"/>
      <c r="AQ25" s="1117"/>
      <c r="AR25" s="1117"/>
      <c r="AS25" s="1117"/>
      <c r="AT25" s="1117"/>
      <c r="AU25" s="1117"/>
      <c r="AV25" s="1117"/>
      <c r="AW25" s="1117"/>
      <c r="AX25" s="1117"/>
      <c r="AY25" s="1117"/>
      <c r="AZ25" s="1117"/>
      <c r="BA25" s="1117"/>
      <c r="BB25" s="1117"/>
      <c r="BC25" s="1117"/>
      <c r="BD25" s="1117"/>
      <c r="BE25" s="1117"/>
      <c r="BF25" s="1117"/>
      <c r="BG25" s="1117"/>
      <c r="BH25" s="1117"/>
      <c r="BI25" s="1117"/>
      <c r="BJ25" s="1117"/>
      <c r="BK25" s="1117"/>
      <c r="BL25" s="1117"/>
      <c r="BM25" s="1117"/>
      <c r="BN25" s="1117"/>
      <c r="BO25" s="1117"/>
      <c r="BP25" s="1117"/>
      <c r="BQ25" s="1117"/>
      <c r="BR25" s="1117"/>
      <c r="BS25" s="1117"/>
      <c r="BT25" s="1117"/>
      <c r="BU25" s="1117"/>
      <c r="BV25" s="1117"/>
      <c r="BW25" s="1117"/>
      <c r="BX25" s="1117"/>
      <c r="BY25" s="1117"/>
      <c r="BZ25" s="1117"/>
      <c r="CA25" s="1117"/>
      <c r="CB25" s="1117"/>
      <c r="CC25" s="1117"/>
      <c r="CD25" s="1117"/>
      <c r="CE25" s="1117"/>
      <c r="CF25" s="1117"/>
      <c r="CG25" s="1117"/>
      <c r="CH25" s="1117"/>
      <c r="CI25" s="1117"/>
      <c r="CJ25" s="1117"/>
      <c r="CK25" s="1117"/>
      <c r="CL25" s="1117"/>
      <c r="CM25" s="1117"/>
      <c r="CN25" s="1117"/>
      <c r="CO25" s="1117"/>
      <c r="CP25" s="1117"/>
      <c r="CQ25" s="1117"/>
      <c r="CR25" s="1117"/>
      <c r="CS25" s="1117"/>
    </row>
    <row r="26" spans="1:97" s="1118" customFormat="1" ht="22.5">
      <c r="A26" s="1134" t="s">
        <v>1909</v>
      </c>
      <c r="B26" s="1135" t="s">
        <v>1918</v>
      </c>
      <c r="C26" s="1126"/>
      <c r="D26" s="1132"/>
      <c r="E26" s="1132"/>
      <c r="F26" s="1132"/>
      <c r="G26" s="1126"/>
      <c r="H26" s="1132"/>
      <c r="I26" s="1132"/>
      <c r="J26" s="1132"/>
      <c r="K26" s="1126"/>
      <c r="L26" s="1132"/>
      <c r="M26" s="1132"/>
      <c r="N26" s="1132"/>
      <c r="O26" s="1132"/>
      <c r="P26" s="1132"/>
      <c r="Q26" s="1126"/>
      <c r="R26" s="1132"/>
      <c r="S26" s="1132"/>
      <c r="T26" s="1132"/>
      <c r="U26" s="1133"/>
      <c r="V26" s="1132"/>
      <c r="W26" s="1132"/>
      <c r="X26" s="1132"/>
      <c r="Y26" s="1126"/>
      <c r="Z26" s="1126"/>
      <c r="AA26" s="1132"/>
      <c r="AB26" s="1132"/>
      <c r="AC26" s="1132"/>
      <c r="AD26" s="1132"/>
      <c r="AE26" s="1126"/>
      <c r="AF26" s="1132"/>
      <c r="AG26" s="1132"/>
      <c r="AH26" s="1132"/>
      <c r="AI26" s="1126"/>
      <c r="AJ26" s="1126"/>
      <c r="AK26" s="1126"/>
      <c r="AL26" s="1127"/>
      <c r="AM26" s="1128"/>
      <c r="AN26" s="1117"/>
      <c r="AO26" s="1117"/>
      <c r="AP26" s="1117"/>
      <c r="AQ26" s="1117"/>
      <c r="AR26" s="1117"/>
      <c r="AS26" s="1117"/>
      <c r="AT26" s="1117"/>
      <c r="AU26" s="1117"/>
      <c r="AV26" s="1117"/>
      <c r="AW26" s="1117"/>
      <c r="AX26" s="1117"/>
      <c r="AY26" s="1117"/>
      <c r="AZ26" s="1117"/>
      <c r="BA26" s="1117"/>
      <c r="BB26" s="1117"/>
      <c r="BC26" s="1117"/>
      <c r="BD26" s="1117"/>
      <c r="BE26" s="1117"/>
      <c r="BF26" s="1117"/>
      <c r="BG26" s="1117"/>
      <c r="BH26" s="1117"/>
      <c r="BI26" s="1117"/>
      <c r="BJ26" s="1117"/>
      <c r="BK26" s="1117"/>
      <c r="BL26" s="1117"/>
      <c r="BM26" s="1117"/>
      <c r="BN26" s="1117"/>
      <c r="BO26" s="1117"/>
      <c r="BP26" s="1117"/>
      <c r="BQ26" s="1117"/>
      <c r="BR26" s="1117"/>
      <c r="BS26" s="1117"/>
      <c r="BT26" s="1117"/>
      <c r="BU26" s="1117"/>
      <c r="BV26" s="1117"/>
      <c r="BW26" s="1117"/>
      <c r="BX26" s="1117"/>
      <c r="BY26" s="1117"/>
      <c r="BZ26" s="1117"/>
      <c r="CA26" s="1117"/>
      <c r="CB26" s="1117"/>
      <c r="CC26" s="1117"/>
      <c r="CD26" s="1117"/>
      <c r="CE26" s="1117"/>
      <c r="CF26" s="1117"/>
      <c r="CG26" s="1117"/>
      <c r="CH26" s="1117"/>
      <c r="CI26" s="1117"/>
      <c r="CJ26" s="1117"/>
      <c r="CK26" s="1117"/>
      <c r="CL26" s="1117"/>
      <c r="CM26" s="1117"/>
      <c r="CN26" s="1117"/>
      <c r="CO26" s="1117"/>
      <c r="CP26" s="1117"/>
      <c r="CQ26" s="1117"/>
      <c r="CR26" s="1117"/>
      <c r="CS26" s="1117"/>
    </row>
    <row r="27" spans="1:97" s="1118" customFormat="1">
      <c r="A27" s="1125" t="s">
        <v>68</v>
      </c>
      <c r="B27" s="1125" t="s">
        <v>69</v>
      </c>
      <c r="C27" s="1126">
        <f>D27+E27+F27+'ОУ 2015'!G15</f>
        <v>3045592.9</v>
      </c>
      <c r="D27" s="1126">
        <f>D29+D30+D28</f>
        <v>206836.9</v>
      </c>
      <c r="E27" s="1126"/>
      <c r="F27" s="1126">
        <f>F29+F30+F28</f>
        <v>1139502</v>
      </c>
      <c r="G27" s="1126"/>
      <c r="H27" s="1126"/>
      <c r="I27" s="1126"/>
      <c r="J27" s="1126"/>
      <c r="K27" s="1126">
        <f t="shared" ref="K27:K36" si="10">L27+M27+N27+O27+P27</f>
        <v>1635316</v>
      </c>
      <c r="L27" s="1126">
        <f>L29+L30+L28+'ОУ 2015'!H15</f>
        <v>282383</v>
      </c>
      <c r="M27" s="1126">
        <f>'ОУ 2015'!J15</f>
        <v>45052</v>
      </c>
      <c r="N27" s="1126"/>
      <c r="O27" s="1126">
        <f>'ОУ 2015'!I15</f>
        <v>1307881</v>
      </c>
      <c r="P27" s="1126"/>
      <c r="Q27" s="1126">
        <f>R27+T27+S27+'ОУ 2015'!K15</f>
        <v>83287235.822737813</v>
      </c>
      <c r="R27" s="1126">
        <f>R29+R30+R28</f>
        <v>35673276.222737812</v>
      </c>
      <c r="S27" s="1126"/>
      <c r="T27" s="1126">
        <f>ОДХnew!C12/1000</f>
        <v>22259820.600000001</v>
      </c>
      <c r="U27" s="1126"/>
      <c r="V27" s="1126"/>
      <c r="W27" s="1126"/>
      <c r="X27" s="1126"/>
      <c r="Y27" s="1126"/>
      <c r="Z27" s="1126"/>
      <c r="AA27" s="1126"/>
      <c r="AB27" s="1126"/>
      <c r="AC27" s="1126"/>
      <c r="AD27" s="1126"/>
      <c r="AE27" s="1126"/>
      <c r="AF27" s="1126"/>
      <c r="AG27" s="1126"/>
      <c r="AH27" s="1126"/>
      <c r="AI27" s="1126"/>
      <c r="AJ27" s="1126"/>
      <c r="AK27" s="1126">
        <f t="shared" si="9"/>
        <v>87968144.722737819</v>
      </c>
      <c r="AL27" s="1127"/>
      <c r="AM27" s="1128"/>
      <c r="AN27" s="1117"/>
      <c r="AO27" s="1117"/>
      <c r="AP27" s="1117"/>
      <c r="AQ27" s="1117"/>
      <c r="AR27" s="1117"/>
      <c r="AS27" s="1117"/>
      <c r="AT27" s="1117"/>
      <c r="AU27" s="1117"/>
      <c r="AV27" s="1117"/>
      <c r="AW27" s="1117"/>
      <c r="AX27" s="1117"/>
      <c r="AY27" s="1117"/>
      <c r="AZ27" s="1117"/>
      <c r="BA27" s="1117"/>
      <c r="BB27" s="1117"/>
      <c r="BC27" s="1117"/>
      <c r="BD27" s="1117"/>
      <c r="BE27" s="1117"/>
      <c r="BF27" s="1117"/>
      <c r="BG27" s="1117"/>
      <c r="BH27" s="1117"/>
      <c r="BI27" s="1117"/>
      <c r="BJ27" s="1117"/>
      <c r="BK27" s="1117"/>
      <c r="BL27" s="1117"/>
      <c r="BM27" s="1117"/>
      <c r="BN27" s="1117"/>
      <c r="BO27" s="1117"/>
      <c r="BP27" s="1117"/>
      <c r="BQ27" s="1117"/>
      <c r="BR27" s="1117"/>
      <c r="BS27" s="1117"/>
      <c r="BT27" s="1117"/>
      <c r="BU27" s="1117"/>
      <c r="BV27" s="1117"/>
      <c r="BW27" s="1117"/>
      <c r="BX27" s="1117"/>
      <c r="BY27" s="1117"/>
      <c r="BZ27" s="1117"/>
      <c r="CA27" s="1117"/>
      <c r="CB27" s="1117"/>
      <c r="CC27" s="1117"/>
      <c r="CD27" s="1117"/>
      <c r="CE27" s="1117"/>
      <c r="CF27" s="1117"/>
      <c r="CG27" s="1117"/>
      <c r="CH27" s="1117"/>
      <c r="CI27" s="1117"/>
      <c r="CJ27" s="1117"/>
      <c r="CK27" s="1117"/>
      <c r="CL27" s="1117"/>
      <c r="CM27" s="1117"/>
      <c r="CN27" s="1117"/>
      <c r="CO27" s="1117"/>
      <c r="CP27" s="1117"/>
      <c r="CQ27" s="1117"/>
      <c r="CR27" s="1117"/>
      <c r="CS27" s="1117"/>
    </row>
    <row r="28" spans="1:97" s="1118" customFormat="1">
      <c r="A28" s="1134" t="s">
        <v>1910</v>
      </c>
      <c r="B28" s="1135" t="s">
        <v>1911</v>
      </c>
      <c r="C28" s="1126"/>
      <c r="D28" s="1132"/>
      <c r="E28" s="1132"/>
      <c r="F28" s="1132"/>
      <c r="G28" s="1126"/>
      <c r="H28" s="1132"/>
      <c r="I28" s="1132"/>
      <c r="J28" s="1132"/>
      <c r="K28" s="1126"/>
      <c r="L28" s="1132"/>
      <c r="M28" s="1132"/>
      <c r="N28" s="1132"/>
      <c r="O28" s="1132"/>
      <c r="P28" s="1132"/>
      <c r="Q28" s="1126"/>
      <c r="R28" s="1132"/>
      <c r="S28" s="1132"/>
      <c r="T28" s="1132"/>
      <c r="U28" s="1133"/>
      <c r="V28" s="1132"/>
      <c r="W28" s="1132"/>
      <c r="X28" s="1132"/>
      <c r="Y28" s="1126"/>
      <c r="Z28" s="1126"/>
      <c r="AA28" s="1132"/>
      <c r="AB28" s="1132"/>
      <c r="AC28" s="1132"/>
      <c r="AD28" s="1132"/>
      <c r="AE28" s="1126"/>
      <c r="AF28" s="1132"/>
      <c r="AG28" s="1132"/>
      <c r="AH28" s="1132"/>
      <c r="AI28" s="1126"/>
      <c r="AJ28" s="1126"/>
      <c r="AK28" s="1126"/>
      <c r="AL28" s="1127"/>
      <c r="AM28" s="1128"/>
      <c r="AN28" s="1117"/>
      <c r="AO28" s="1117"/>
      <c r="AP28" s="1117"/>
      <c r="AQ28" s="1117"/>
      <c r="AR28" s="1117"/>
      <c r="AS28" s="1117"/>
      <c r="AT28" s="1117"/>
      <c r="AU28" s="1117"/>
      <c r="AV28" s="1117"/>
      <c r="AW28" s="1117"/>
      <c r="AX28" s="1117"/>
      <c r="AY28" s="1117"/>
      <c r="AZ28" s="1117"/>
      <c r="BA28" s="1117"/>
      <c r="BB28" s="1117"/>
      <c r="BC28" s="1117"/>
      <c r="BD28" s="1117"/>
      <c r="BE28" s="1117"/>
      <c r="BF28" s="1117"/>
      <c r="BG28" s="1117"/>
      <c r="BH28" s="1117"/>
      <c r="BI28" s="1117"/>
      <c r="BJ28" s="1117"/>
      <c r="BK28" s="1117"/>
      <c r="BL28" s="1117"/>
      <c r="BM28" s="1117"/>
      <c r="BN28" s="1117"/>
      <c r="BO28" s="1117"/>
      <c r="BP28" s="1117"/>
      <c r="BQ28" s="1117"/>
      <c r="BR28" s="1117"/>
      <c r="BS28" s="1117"/>
      <c r="BT28" s="1117"/>
      <c r="BU28" s="1117"/>
      <c r="BV28" s="1117"/>
      <c r="BW28" s="1117"/>
      <c r="BX28" s="1117"/>
      <c r="BY28" s="1117"/>
      <c r="BZ28" s="1117"/>
      <c r="CA28" s="1117"/>
      <c r="CB28" s="1117"/>
      <c r="CC28" s="1117"/>
      <c r="CD28" s="1117"/>
      <c r="CE28" s="1117"/>
      <c r="CF28" s="1117"/>
      <c r="CG28" s="1117"/>
      <c r="CH28" s="1117"/>
      <c r="CI28" s="1117"/>
      <c r="CJ28" s="1117"/>
      <c r="CK28" s="1117"/>
      <c r="CL28" s="1117"/>
      <c r="CM28" s="1117"/>
      <c r="CN28" s="1117"/>
      <c r="CO28" s="1117"/>
      <c r="CP28" s="1117"/>
      <c r="CQ28" s="1117"/>
      <c r="CR28" s="1117"/>
      <c r="CS28" s="1117"/>
    </row>
    <row r="29" spans="1:97" s="1118" customFormat="1">
      <c r="A29" s="1130" t="s">
        <v>70</v>
      </c>
      <c r="B29" s="1131" t="s">
        <v>71</v>
      </c>
      <c r="C29" s="1126">
        <f t="shared" ref="C29:C36" si="11">D29+E29+F29</f>
        <v>1346338.9</v>
      </c>
      <c r="D29" s="1132">
        <f>'КОМУ 2015'!I8+'КОМУ 2015'!J8</f>
        <v>206836.9</v>
      </c>
      <c r="E29" s="1132"/>
      <c r="F29" s="1132">
        <f>'КОМУ 2015'!Y8+'КОМУ 2015'!AA8</f>
        <v>1139502</v>
      </c>
      <c r="G29" s="1126"/>
      <c r="H29" s="1132"/>
      <c r="I29" s="1132"/>
      <c r="J29" s="1132"/>
      <c r="K29" s="1126">
        <f t="shared" si="10"/>
        <v>1589</v>
      </c>
      <c r="L29" s="1132">
        <f>'КОМУ 2015'!AF8</f>
        <v>1589</v>
      </c>
      <c r="M29" s="1132"/>
      <c r="N29" s="1132"/>
      <c r="O29" s="1132"/>
      <c r="P29" s="1132"/>
      <c r="Q29" s="1126"/>
      <c r="R29" s="1132"/>
      <c r="S29" s="1132"/>
      <c r="T29" s="1132"/>
      <c r="U29" s="1133"/>
      <c r="V29" s="1132"/>
      <c r="W29" s="1132"/>
      <c r="X29" s="1132"/>
      <c r="Y29" s="1126"/>
      <c r="Z29" s="1126"/>
      <c r="AA29" s="1132"/>
      <c r="AB29" s="1132"/>
      <c r="AC29" s="1132"/>
      <c r="AD29" s="1132"/>
      <c r="AE29" s="1126"/>
      <c r="AF29" s="1132"/>
      <c r="AG29" s="1132"/>
      <c r="AH29" s="1132"/>
      <c r="AI29" s="1126"/>
      <c r="AJ29" s="1126"/>
      <c r="AK29" s="1126">
        <f t="shared" si="9"/>
        <v>1347927.9</v>
      </c>
      <c r="AL29" s="1127"/>
      <c r="AM29" s="1128"/>
      <c r="AN29" s="1117"/>
      <c r="AO29" s="1117"/>
      <c r="AP29" s="1117"/>
      <c r="AQ29" s="1117"/>
      <c r="AR29" s="1117"/>
      <c r="AS29" s="1117"/>
      <c r="AT29" s="1117"/>
      <c r="AU29" s="1117"/>
      <c r="AV29" s="1117"/>
      <c r="AW29" s="1117"/>
      <c r="AX29" s="1117"/>
      <c r="AY29" s="1117"/>
      <c r="AZ29" s="1117"/>
      <c r="BA29" s="1117"/>
      <c r="BB29" s="1117"/>
      <c r="BC29" s="1117"/>
      <c r="BD29" s="1117"/>
      <c r="BE29" s="1117"/>
      <c r="BF29" s="1117"/>
      <c r="BG29" s="1117"/>
      <c r="BH29" s="1117"/>
      <c r="BI29" s="1117"/>
      <c r="BJ29" s="1117"/>
      <c r="BK29" s="1117"/>
      <c r="BL29" s="1117"/>
      <c r="BM29" s="1117"/>
      <c r="BN29" s="1117"/>
      <c r="BO29" s="1117"/>
      <c r="BP29" s="1117"/>
      <c r="BQ29" s="1117"/>
      <c r="BR29" s="1117"/>
      <c r="BS29" s="1117"/>
      <c r="BT29" s="1117"/>
      <c r="BU29" s="1117"/>
      <c r="BV29" s="1117"/>
      <c r="BW29" s="1117"/>
      <c r="BX29" s="1117"/>
      <c r="BY29" s="1117"/>
      <c r="BZ29" s="1117"/>
      <c r="CA29" s="1117"/>
      <c r="CB29" s="1117"/>
      <c r="CC29" s="1117"/>
      <c r="CD29" s="1117"/>
      <c r="CE29" s="1117"/>
      <c r="CF29" s="1117"/>
      <c r="CG29" s="1117"/>
      <c r="CH29" s="1117"/>
      <c r="CI29" s="1117"/>
      <c r="CJ29" s="1117"/>
      <c r="CK29" s="1117"/>
      <c r="CL29" s="1117"/>
      <c r="CM29" s="1117"/>
      <c r="CN29" s="1117"/>
      <c r="CO29" s="1117"/>
      <c r="CP29" s="1117"/>
      <c r="CQ29" s="1117"/>
      <c r="CR29" s="1117"/>
      <c r="CS29" s="1117"/>
    </row>
    <row r="30" spans="1:97" s="1118" customFormat="1">
      <c r="A30" s="1130" t="s">
        <v>72</v>
      </c>
      <c r="B30" s="1131" t="s">
        <v>73</v>
      </c>
      <c r="C30" s="1126"/>
      <c r="D30" s="1132"/>
      <c r="E30" s="1132"/>
      <c r="F30" s="1132"/>
      <c r="G30" s="1126"/>
      <c r="H30" s="1132"/>
      <c r="I30" s="1132"/>
      <c r="J30" s="1132"/>
      <c r="K30" s="1126"/>
      <c r="L30" s="1132"/>
      <c r="M30" s="1132"/>
      <c r="N30" s="1132"/>
      <c r="O30" s="1132"/>
      <c r="P30" s="1132"/>
      <c r="Q30" s="1126">
        <f t="shared" ref="Q30" si="12">R30+T30+S30</f>
        <v>35673276.222737812</v>
      </c>
      <c r="R30" s="1132">
        <f>'ДФ 2015'!H16+'ГБ 2015'!N237+'ГБ 2015'!N282+'ГБ 2015'!N195+'ГБ 2015'!N202+'ГБ 2015'!N210+'039 2015'!M8</f>
        <v>35673276.222737812</v>
      </c>
      <c r="S30" s="1132"/>
      <c r="T30" s="1132"/>
      <c r="U30" s="1133"/>
      <c r="V30" s="1132"/>
      <c r="W30" s="1132"/>
      <c r="X30" s="1132"/>
      <c r="Y30" s="1126"/>
      <c r="Z30" s="1126"/>
      <c r="AA30" s="1132"/>
      <c r="AB30" s="1132"/>
      <c r="AC30" s="1132"/>
      <c r="AD30" s="1132"/>
      <c r="AE30" s="1126"/>
      <c r="AF30" s="1132"/>
      <c r="AG30" s="1132"/>
      <c r="AH30" s="1132"/>
      <c r="AI30" s="1126"/>
      <c r="AJ30" s="1126"/>
      <c r="AK30" s="1126">
        <f t="shared" si="9"/>
        <v>35673276.222737812</v>
      </c>
      <c r="AL30" s="1127"/>
      <c r="AM30" s="1128"/>
      <c r="AN30" s="1117"/>
      <c r="AO30" s="1117"/>
      <c r="AP30" s="1117"/>
      <c r="AQ30" s="1117"/>
      <c r="AR30" s="1117"/>
      <c r="AS30" s="1117"/>
      <c r="AT30" s="1117"/>
      <c r="AU30" s="1117"/>
      <c r="AV30" s="1117"/>
      <c r="AW30" s="1117"/>
      <c r="AX30" s="1117"/>
      <c r="AY30" s="1117"/>
      <c r="AZ30" s="1117"/>
      <c r="BA30" s="1117"/>
      <c r="BB30" s="1117"/>
      <c r="BC30" s="1117"/>
      <c r="BD30" s="1117"/>
      <c r="BE30" s="1117"/>
      <c r="BF30" s="1117"/>
      <c r="BG30" s="1117"/>
      <c r="BH30" s="1117"/>
      <c r="BI30" s="1117"/>
      <c r="BJ30" s="1117"/>
      <c r="BK30" s="1117"/>
      <c r="BL30" s="1117"/>
      <c r="BM30" s="1117"/>
      <c r="BN30" s="1117"/>
      <c r="BO30" s="1117"/>
      <c r="BP30" s="1117"/>
      <c r="BQ30" s="1117"/>
      <c r="BR30" s="1117"/>
      <c r="BS30" s="1117"/>
      <c r="BT30" s="1117"/>
      <c r="BU30" s="1117"/>
      <c r="BV30" s="1117"/>
      <c r="BW30" s="1117"/>
      <c r="BX30" s="1117"/>
      <c r="BY30" s="1117"/>
      <c r="BZ30" s="1117"/>
      <c r="CA30" s="1117"/>
      <c r="CB30" s="1117"/>
      <c r="CC30" s="1117"/>
      <c r="CD30" s="1117"/>
      <c r="CE30" s="1117"/>
      <c r="CF30" s="1117"/>
      <c r="CG30" s="1117"/>
      <c r="CH30" s="1117"/>
      <c r="CI30" s="1117"/>
      <c r="CJ30" s="1117"/>
      <c r="CK30" s="1117"/>
      <c r="CL30" s="1117"/>
      <c r="CM30" s="1117"/>
      <c r="CN30" s="1117"/>
      <c r="CO30" s="1117"/>
      <c r="CP30" s="1117"/>
      <c r="CQ30" s="1117"/>
      <c r="CR30" s="1117"/>
      <c r="CS30" s="1117"/>
    </row>
    <row r="31" spans="1:97" s="1118" customFormat="1" ht="22.5">
      <c r="A31" s="1125" t="s">
        <v>74</v>
      </c>
      <c r="B31" s="1125" t="s">
        <v>75</v>
      </c>
      <c r="C31" s="1126">
        <f t="shared" si="11"/>
        <v>1602284.7999999998</v>
      </c>
      <c r="D31" s="1126">
        <f>D32+D36</f>
        <v>1281621</v>
      </c>
      <c r="E31" s="1126"/>
      <c r="F31" s="1126">
        <f t="shared" ref="F31" si="13">F32+F36</f>
        <v>320663.79999999993</v>
      </c>
      <c r="G31" s="1126"/>
      <c r="H31" s="1126"/>
      <c r="I31" s="1126"/>
      <c r="J31" s="1126"/>
      <c r="K31" s="1126">
        <f t="shared" si="10"/>
        <v>79925.7</v>
      </c>
      <c r="L31" s="1126">
        <f>L32+L36</f>
        <v>69962.399999999994</v>
      </c>
      <c r="M31" s="1126"/>
      <c r="N31" s="1126"/>
      <c r="O31" s="1126">
        <f>O32+O36</f>
        <v>9963.2999999999993</v>
      </c>
      <c r="P31" s="1126"/>
      <c r="Q31" s="1126"/>
      <c r="R31" s="1126"/>
      <c r="S31" s="1126"/>
      <c r="T31" s="1126"/>
      <c r="U31" s="1126">
        <f t="shared" ref="U31:U36" si="14">V31+W31+X31</f>
        <v>318162757.58579999</v>
      </c>
      <c r="V31" s="1126">
        <f>V32+V36+'Розница ЛС'!M26*1000</f>
        <v>318162757.58579999</v>
      </c>
      <c r="W31" s="1126">
        <f>W32+W36</f>
        <v>0</v>
      </c>
      <c r="X31" s="1126">
        <f>X32+X36</f>
        <v>0</v>
      </c>
      <c r="Y31" s="1126"/>
      <c r="Z31" s="1126"/>
      <c r="AA31" s="1126"/>
      <c r="AB31" s="1126"/>
      <c r="AC31" s="1126"/>
      <c r="AD31" s="1126"/>
      <c r="AE31" s="1126">
        <f t="shared" ref="AE31:AE36" si="15">AG31+AH31+AF31</f>
        <v>10771.1</v>
      </c>
      <c r="AF31" s="1126"/>
      <c r="AG31" s="1126">
        <f>AG32+AG36</f>
        <v>10771.1</v>
      </c>
      <c r="AH31" s="1126"/>
      <c r="AI31" s="1126"/>
      <c r="AJ31" s="1126"/>
      <c r="AK31" s="1126">
        <f t="shared" si="9"/>
        <v>319855739.18580002</v>
      </c>
      <c r="AL31" s="1127"/>
      <c r="AM31" s="1128"/>
      <c r="AN31" s="1117"/>
      <c r="AO31" s="1117"/>
      <c r="AP31" s="1117"/>
      <c r="AQ31" s="1117"/>
      <c r="AR31" s="1117"/>
      <c r="AS31" s="1117"/>
      <c r="AT31" s="1117"/>
      <c r="AU31" s="1117"/>
      <c r="AV31" s="1117"/>
      <c r="AW31" s="1117"/>
      <c r="AX31" s="1117"/>
      <c r="AY31" s="1117"/>
      <c r="AZ31" s="1117"/>
      <c r="BA31" s="1117"/>
      <c r="BB31" s="1117"/>
      <c r="BC31" s="1117"/>
      <c r="BD31" s="1117"/>
      <c r="BE31" s="1117"/>
      <c r="BF31" s="1117"/>
      <c r="BG31" s="1117"/>
      <c r="BH31" s="1117"/>
      <c r="BI31" s="1117"/>
      <c r="BJ31" s="1117"/>
      <c r="BK31" s="1117"/>
      <c r="BL31" s="1117"/>
      <c r="BM31" s="1117"/>
      <c r="BN31" s="1117"/>
      <c r="BO31" s="1117"/>
      <c r="BP31" s="1117"/>
      <c r="BQ31" s="1117"/>
      <c r="BR31" s="1117"/>
      <c r="BS31" s="1117"/>
      <c r="BT31" s="1117"/>
      <c r="BU31" s="1117"/>
      <c r="BV31" s="1117"/>
      <c r="BW31" s="1117"/>
      <c r="BX31" s="1117"/>
      <c r="BY31" s="1117"/>
      <c r="BZ31" s="1117"/>
      <c r="CA31" s="1117"/>
      <c r="CB31" s="1117"/>
      <c r="CC31" s="1117"/>
      <c r="CD31" s="1117"/>
      <c r="CE31" s="1117"/>
      <c r="CF31" s="1117"/>
      <c r="CG31" s="1117"/>
      <c r="CH31" s="1117"/>
      <c r="CI31" s="1117"/>
      <c r="CJ31" s="1117"/>
      <c r="CK31" s="1117"/>
      <c r="CL31" s="1117"/>
      <c r="CM31" s="1117"/>
      <c r="CN31" s="1117"/>
      <c r="CO31" s="1117"/>
      <c r="CP31" s="1117"/>
      <c r="CQ31" s="1117"/>
      <c r="CR31" s="1117"/>
      <c r="CS31" s="1117"/>
    </row>
    <row r="32" spans="1:97" s="1143" customFormat="1" ht="33.75">
      <c r="A32" s="1130" t="s">
        <v>76</v>
      </c>
      <c r="B32" s="1131" t="s">
        <v>77</v>
      </c>
      <c r="C32" s="1126"/>
      <c r="D32" s="1132"/>
      <c r="E32" s="1132"/>
      <c r="F32" s="1132"/>
      <c r="G32" s="1126"/>
      <c r="H32" s="1132"/>
      <c r="I32" s="1132"/>
      <c r="J32" s="1132"/>
      <c r="K32" s="1126"/>
      <c r="L32" s="1132"/>
      <c r="M32" s="1132"/>
      <c r="N32" s="1132"/>
      <c r="O32" s="1132"/>
      <c r="P32" s="1132"/>
      <c r="Q32" s="1126"/>
      <c r="R32" s="1132"/>
      <c r="S32" s="1132"/>
      <c r="T32" s="1132"/>
      <c r="U32" s="1133">
        <f t="shared" si="14"/>
        <v>57953257.585799992</v>
      </c>
      <c r="V32" s="1132">
        <f>'ГБ 2015'!N146+'ГБ 2015'!N148+'ГБ 2015'!N150+'ГБ 2015'!N152+'ГБ 2015'!N160+'ГБ 2015'!N120+'ГБ 2015'!N122+'ГБ 2015'!N125+'ГБ 2015'!N128+'ГБ 2015'!N137+'ГБ 2015'!N167+'ГБ 2015'!N178+'ГБ 2015'!N182+'ГБ 2015'!N190</f>
        <v>57953257.585799992</v>
      </c>
      <c r="W32" s="1132"/>
      <c r="X32" s="1132"/>
      <c r="Y32" s="1126"/>
      <c r="Z32" s="1126"/>
      <c r="AA32" s="1132"/>
      <c r="AB32" s="1132"/>
      <c r="AC32" s="1132"/>
      <c r="AD32" s="1132"/>
      <c r="AE32" s="1126"/>
      <c r="AF32" s="1132"/>
      <c r="AG32" s="1132"/>
      <c r="AH32" s="1132"/>
      <c r="AI32" s="1126"/>
      <c r="AJ32" s="1126"/>
      <c r="AK32" s="1126">
        <f t="shared" si="9"/>
        <v>57953257.585799992</v>
      </c>
      <c r="AL32" s="1127"/>
      <c r="AM32" s="1128"/>
      <c r="AN32" s="1117"/>
      <c r="AO32" s="1117"/>
      <c r="AP32" s="1117"/>
      <c r="AQ32" s="1117"/>
      <c r="AR32" s="1117"/>
      <c r="AS32" s="1117"/>
      <c r="AT32" s="1117"/>
      <c r="AU32" s="1117"/>
      <c r="AV32" s="1117"/>
      <c r="AW32" s="1117"/>
      <c r="AX32" s="1117"/>
      <c r="AY32" s="1117"/>
      <c r="AZ32" s="1117"/>
      <c r="BA32" s="1117"/>
      <c r="BB32" s="1117"/>
      <c r="BC32" s="1117"/>
      <c r="BD32" s="1117"/>
      <c r="BE32" s="1117"/>
      <c r="BF32" s="1117"/>
      <c r="BG32" s="1117"/>
      <c r="BH32" s="1117"/>
      <c r="BI32" s="1117"/>
      <c r="BJ32" s="1117"/>
      <c r="BK32" s="1117"/>
      <c r="BL32" s="1117"/>
      <c r="BM32" s="1117"/>
      <c r="BN32" s="1117"/>
      <c r="BO32" s="1117"/>
      <c r="BP32" s="1117"/>
      <c r="BQ32" s="1117"/>
      <c r="BR32" s="1117"/>
      <c r="BS32" s="1117"/>
      <c r="BT32" s="1117"/>
      <c r="BU32" s="1117"/>
      <c r="BV32" s="1117"/>
      <c r="BW32" s="1117"/>
      <c r="BX32" s="1117"/>
      <c r="BY32" s="1117"/>
      <c r="BZ32" s="1117"/>
      <c r="CA32" s="1117"/>
      <c r="CB32" s="1117"/>
      <c r="CC32" s="1117"/>
      <c r="CD32" s="1117"/>
      <c r="CE32" s="1117"/>
      <c r="CF32" s="1117"/>
      <c r="CG32" s="1117"/>
      <c r="CH32" s="1117"/>
      <c r="CI32" s="1117"/>
      <c r="CJ32" s="1117"/>
      <c r="CK32" s="1117"/>
      <c r="CL32" s="1117"/>
      <c r="CM32" s="1117"/>
      <c r="CN32" s="1117"/>
      <c r="CO32" s="1117"/>
      <c r="CP32" s="1117"/>
      <c r="CQ32" s="1117"/>
      <c r="CR32" s="1117"/>
      <c r="CS32" s="1117"/>
    </row>
    <row r="33" spans="1:97" s="1117" customFormat="1" ht="22.5">
      <c r="A33" s="1144" t="s">
        <v>1912</v>
      </c>
      <c r="B33" s="1140" t="s">
        <v>1919</v>
      </c>
      <c r="C33" s="1126"/>
      <c r="D33" s="1138"/>
      <c r="E33" s="1138"/>
      <c r="F33" s="1138"/>
      <c r="G33" s="1126"/>
      <c r="H33" s="1138"/>
      <c r="I33" s="1138"/>
      <c r="J33" s="1138"/>
      <c r="K33" s="1126"/>
      <c r="L33" s="1138"/>
      <c r="M33" s="1138"/>
      <c r="N33" s="1138"/>
      <c r="O33" s="1138"/>
      <c r="P33" s="1138"/>
      <c r="Q33" s="1126"/>
      <c r="R33" s="1138"/>
      <c r="S33" s="1138"/>
      <c r="T33" s="1138"/>
      <c r="U33" s="1133"/>
      <c r="V33" s="1138"/>
      <c r="W33" s="1138"/>
      <c r="X33" s="1138"/>
      <c r="Y33" s="1126"/>
      <c r="Z33" s="1126"/>
      <c r="AA33" s="1138"/>
      <c r="AB33" s="1138"/>
      <c r="AC33" s="1138"/>
      <c r="AD33" s="1138"/>
      <c r="AE33" s="1126"/>
      <c r="AF33" s="1138"/>
      <c r="AG33" s="1138"/>
      <c r="AH33" s="1138"/>
      <c r="AI33" s="1126"/>
      <c r="AJ33" s="1126"/>
      <c r="AK33" s="1126"/>
      <c r="AL33" s="1127"/>
      <c r="AM33" s="1128"/>
    </row>
    <row r="34" spans="1:97" s="1117" customFormat="1" ht="22.5">
      <c r="A34" s="1144" t="s">
        <v>1920</v>
      </c>
      <c r="B34" s="1140" t="s">
        <v>1921</v>
      </c>
      <c r="C34" s="1126"/>
      <c r="D34" s="1138"/>
      <c r="E34" s="1138"/>
      <c r="F34" s="1138"/>
      <c r="G34" s="1126"/>
      <c r="H34" s="1138"/>
      <c r="I34" s="1138"/>
      <c r="J34" s="1138"/>
      <c r="K34" s="1126"/>
      <c r="L34" s="1138"/>
      <c r="M34" s="1138"/>
      <c r="N34" s="1138"/>
      <c r="O34" s="1138"/>
      <c r="P34" s="1138"/>
      <c r="Q34" s="1126"/>
      <c r="R34" s="1138"/>
      <c r="S34" s="1138"/>
      <c r="T34" s="1138"/>
      <c r="U34" s="1133"/>
      <c r="V34" s="1138"/>
      <c r="W34" s="1138"/>
      <c r="X34" s="1138"/>
      <c r="Y34" s="1126"/>
      <c r="Z34" s="1126"/>
      <c r="AA34" s="1138"/>
      <c r="AB34" s="1138"/>
      <c r="AC34" s="1138"/>
      <c r="AD34" s="1138"/>
      <c r="AE34" s="1126"/>
      <c r="AF34" s="1138"/>
      <c r="AG34" s="1138"/>
      <c r="AH34" s="1138"/>
      <c r="AI34" s="1126"/>
      <c r="AJ34" s="1126"/>
      <c r="AK34" s="1126"/>
      <c r="AL34" s="1127"/>
      <c r="AM34" s="1128"/>
    </row>
    <row r="35" spans="1:97" s="1117" customFormat="1" ht="22.5">
      <c r="A35" s="1144" t="s">
        <v>1922</v>
      </c>
      <c r="B35" s="1140" t="s">
        <v>1923</v>
      </c>
      <c r="C35" s="1126"/>
      <c r="D35" s="1138"/>
      <c r="E35" s="1138"/>
      <c r="F35" s="1138"/>
      <c r="G35" s="1126"/>
      <c r="H35" s="1138"/>
      <c r="I35" s="1138"/>
      <c r="J35" s="1138"/>
      <c r="K35" s="1126"/>
      <c r="L35" s="1138"/>
      <c r="M35" s="1138"/>
      <c r="N35" s="1138"/>
      <c r="O35" s="1138"/>
      <c r="P35" s="1138"/>
      <c r="Q35" s="1126"/>
      <c r="R35" s="1138"/>
      <c r="S35" s="1138"/>
      <c r="T35" s="1138"/>
      <c r="U35" s="1133"/>
      <c r="V35" s="1138"/>
      <c r="W35" s="1138"/>
      <c r="X35" s="1138"/>
      <c r="Y35" s="1126"/>
      <c r="Z35" s="1126"/>
      <c r="AA35" s="1138"/>
      <c r="AB35" s="1138"/>
      <c r="AC35" s="1138"/>
      <c r="AD35" s="1138"/>
      <c r="AE35" s="1126"/>
      <c r="AF35" s="1138"/>
      <c r="AG35" s="1138"/>
      <c r="AH35" s="1138"/>
      <c r="AI35" s="1126"/>
      <c r="AJ35" s="1126"/>
      <c r="AK35" s="1126"/>
      <c r="AL35" s="1127"/>
      <c r="AM35" s="1128"/>
    </row>
    <row r="36" spans="1:97" s="1118" customFormat="1" ht="33.75">
      <c r="A36" s="1130" t="s">
        <v>78</v>
      </c>
      <c r="B36" s="1131" t="s">
        <v>79</v>
      </c>
      <c r="C36" s="1126">
        <f t="shared" si="11"/>
        <v>1602284.7999999998</v>
      </c>
      <c r="D36" s="1132">
        <f>'КОМУ 2015'!I9+'КОМУ 2015'!J9</f>
        <v>1281621</v>
      </c>
      <c r="E36" s="1132"/>
      <c r="F36" s="1132">
        <f>'КОМУ 2015'!Q9+'КОМУ 2015'!Y9+'КОМУ 2015'!U9+'КОМУ 2015'!AA9</f>
        <v>320663.79999999993</v>
      </c>
      <c r="G36" s="1126"/>
      <c r="H36" s="1132"/>
      <c r="I36" s="1132"/>
      <c r="J36" s="1132"/>
      <c r="K36" s="1126">
        <f t="shared" si="10"/>
        <v>79925.7</v>
      </c>
      <c r="L36" s="1132">
        <f>'КОМУ 2015'!AF9</f>
        <v>69962.399999999994</v>
      </c>
      <c r="M36" s="1132"/>
      <c r="N36" s="1132"/>
      <c r="O36" s="1132">
        <f>'КОМУ 2015'!AL9</f>
        <v>9963.2999999999993</v>
      </c>
      <c r="P36" s="1132"/>
      <c r="Q36" s="1126"/>
      <c r="R36" s="1132"/>
      <c r="S36" s="1132"/>
      <c r="T36" s="1132"/>
      <c r="U36" s="1133">
        <f t="shared" si="14"/>
        <v>70859400</v>
      </c>
      <c r="V36" s="1132">
        <f>'Розница ЛС'!M27*1000</f>
        <v>70859400</v>
      </c>
      <c r="W36" s="1132"/>
      <c r="X36" s="1132"/>
      <c r="Y36" s="1126"/>
      <c r="Z36" s="1126"/>
      <c r="AA36" s="1132"/>
      <c r="AB36" s="1132"/>
      <c r="AC36" s="1132"/>
      <c r="AD36" s="1132"/>
      <c r="AE36" s="1126">
        <f t="shared" si="15"/>
        <v>10771.1</v>
      </c>
      <c r="AF36" s="1132"/>
      <c r="AG36" s="1132">
        <f>'КОМУ 2015'!BH9</f>
        <v>10771.1</v>
      </c>
      <c r="AH36" s="1132"/>
      <c r="AI36" s="1126"/>
      <c r="AJ36" s="1126"/>
      <c r="AK36" s="1126">
        <f t="shared" si="9"/>
        <v>72552381.599999994</v>
      </c>
      <c r="AL36" s="1127"/>
      <c r="AM36" s="1128"/>
      <c r="AN36" s="1117"/>
      <c r="AO36" s="1117"/>
      <c r="AP36" s="1117"/>
      <c r="AQ36" s="1117"/>
      <c r="AR36" s="1117"/>
      <c r="AS36" s="1117"/>
      <c r="AT36" s="1117"/>
      <c r="AU36" s="1117"/>
      <c r="AV36" s="1117"/>
      <c r="AW36" s="1117"/>
      <c r="AX36" s="1117"/>
      <c r="AY36" s="1117"/>
      <c r="AZ36" s="1117"/>
      <c r="BA36" s="1117"/>
      <c r="BB36" s="1117"/>
      <c r="BC36" s="1117"/>
      <c r="BD36" s="1117"/>
      <c r="BE36" s="1117"/>
      <c r="BF36" s="1117"/>
      <c r="BG36" s="1117"/>
      <c r="BH36" s="1117"/>
      <c r="BI36" s="1117"/>
      <c r="BJ36" s="1117"/>
      <c r="BK36" s="1117"/>
      <c r="BL36" s="1117"/>
      <c r="BM36" s="1117"/>
      <c r="BN36" s="1117"/>
      <c r="BO36" s="1117"/>
      <c r="BP36" s="1117"/>
      <c r="BQ36" s="1117"/>
      <c r="BR36" s="1117"/>
      <c r="BS36" s="1117"/>
      <c r="BT36" s="1117"/>
      <c r="BU36" s="1117"/>
      <c r="BV36" s="1117"/>
      <c r="BW36" s="1117"/>
      <c r="BX36" s="1117"/>
      <c r="BY36" s="1117"/>
      <c r="BZ36" s="1117"/>
      <c r="CA36" s="1117"/>
      <c r="CB36" s="1117"/>
      <c r="CC36" s="1117"/>
      <c r="CD36" s="1117"/>
      <c r="CE36" s="1117"/>
      <c r="CF36" s="1117"/>
      <c r="CG36" s="1117"/>
      <c r="CH36" s="1117"/>
      <c r="CI36" s="1117"/>
      <c r="CJ36" s="1117"/>
      <c r="CK36" s="1117"/>
      <c r="CL36" s="1117"/>
      <c r="CM36" s="1117"/>
      <c r="CN36" s="1117"/>
      <c r="CO36" s="1117"/>
      <c r="CP36" s="1117"/>
      <c r="CQ36" s="1117"/>
      <c r="CR36" s="1117"/>
      <c r="CS36" s="1117"/>
    </row>
    <row r="37" spans="1:97" s="1118" customFormat="1">
      <c r="A37" s="1125" t="s">
        <v>80</v>
      </c>
      <c r="B37" s="1125" t="s">
        <v>81</v>
      </c>
      <c r="C37" s="1126"/>
      <c r="D37" s="1126"/>
      <c r="E37" s="1126"/>
      <c r="F37" s="1126"/>
      <c r="G37" s="1126">
        <f>H37+J37+I37</f>
        <v>3232710.3705000002</v>
      </c>
      <c r="H37" s="1126">
        <f>H38+H39+H42+H41+H43</f>
        <v>0</v>
      </c>
      <c r="I37" s="1126">
        <f>I38+I39+I42+I41+I43</f>
        <v>0</v>
      </c>
      <c r="J37" s="1126">
        <f>J38+J39+J42+J41+J43</f>
        <v>3232710.3705000002</v>
      </c>
      <c r="K37" s="1126"/>
      <c r="L37" s="1126"/>
      <c r="M37" s="1126"/>
      <c r="N37" s="1126"/>
      <c r="O37" s="1126"/>
      <c r="P37" s="1126"/>
      <c r="Q37" s="1126"/>
      <c r="R37" s="1126"/>
      <c r="S37" s="1126"/>
      <c r="T37" s="1126"/>
      <c r="U37" s="1126"/>
      <c r="V37" s="1126"/>
      <c r="W37" s="1126"/>
      <c r="X37" s="1126"/>
      <c r="Y37" s="1126">
        <f>Y38+Y39+Y42+Y41+Y43+Y40</f>
        <v>42331656.909159996</v>
      </c>
      <c r="Z37" s="1126"/>
      <c r="AA37" s="1126"/>
      <c r="AB37" s="1126"/>
      <c r="AC37" s="1126"/>
      <c r="AD37" s="1126"/>
      <c r="AE37" s="1126"/>
      <c r="AF37" s="1126"/>
      <c r="AG37" s="1126"/>
      <c r="AH37" s="1126"/>
      <c r="AI37" s="1126"/>
      <c r="AJ37" s="1126"/>
      <c r="AK37" s="1126">
        <f t="shared" si="9"/>
        <v>45564367.279659994</v>
      </c>
      <c r="AL37" s="1127"/>
      <c r="AM37" s="1128"/>
      <c r="AN37" s="1117"/>
      <c r="AO37" s="1117"/>
      <c r="AP37" s="1117"/>
      <c r="AQ37" s="1117"/>
      <c r="AR37" s="1117"/>
      <c r="AS37" s="1117"/>
      <c r="AT37" s="1117"/>
      <c r="AU37" s="1117"/>
      <c r="AV37" s="1117"/>
      <c r="AW37" s="1117"/>
      <c r="AX37" s="1117"/>
      <c r="AY37" s="1117"/>
      <c r="AZ37" s="1117"/>
      <c r="BA37" s="1117"/>
      <c r="BB37" s="1117"/>
      <c r="BC37" s="1117"/>
      <c r="BD37" s="1117"/>
      <c r="BE37" s="1117"/>
      <c r="BF37" s="1117"/>
      <c r="BG37" s="1117"/>
      <c r="BH37" s="1117"/>
      <c r="BI37" s="1117"/>
      <c r="BJ37" s="1117"/>
      <c r="BK37" s="1117"/>
      <c r="BL37" s="1117"/>
      <c r="BM37" s="1117"/>
      <c r="BN37" s="1117"/>
      <c r="BO37" s="1117"/>
      <c r="BP37" s="1117"/>
      <c r="BQ37" s="1117"/>
      <c r="BR37" s="1117"/>
      <c r="BS37" s="1117"/>
      <c r="BT37" s="1117"/>
      <c r="BU37" s="1117"/>
      <c r="BV37" s="1117"/>
      <c r="BW37" s="1117"/>
      <c r="BX37" s="1117"/>
      <c r="BY37" s="1117"/>
      <c r="BZ37" s="1117"/>
      <c r="CA37" s="1117"/>
      <c r="CB37" s="1117"/>
      <c r="CC37" s="1117"/>
      <c r="CD37" s="1117"/>
      <c r="CE37" s="1117"/>
      <c r="CF37" s="1117"/>
      <c r="CG37" s="1117"/>
      <c r="CH37" s="1117"/>
      <c r="CI37" s="1117"/>
      <c r="CJ37" s="1117"/>
      <c r="CK37" s="1117"/>
      <c r="CL37" s="1117"/>
      <c r="CM37" s="1117"/>
      <c r="CN37" s="1117"/>
      <c r="CO37" s="1117"/>
      <c r="CP37" s="1117"/>
      <c r="CQ37" s="1117"/>
      <c r="CR37" s="1117"/>
      <c r="CS37" s="1117"/>
    </row>
    <row r="38" spans="1:97" s="1118" customFormat="1" ht="33.75">
      <c r="A38" s="1130" t="s">
        <v>82</v>
      </c>
      <c r="B38" s="1131" t="s">
        <v>83</v>
      </c>
      <c r="C38" s="1126"/>
      <c r="D38" s="1132"/>
      <c r="E38" s="1132"/>
      <c r="F38" s="1132"/>
      <c r="G38" s="1126"/>
      <c r="H38" s="1132"/>
      <c r="I38" s="1132"/>
      <c r="J38" s="1132"/>
      <c r="K38" s="1126"/>
      <c r="L38" s="1132"/>
      <c r="M38" s="1132"/>
      <c r="N38" s="1132"/>
      <c r="O38" s="1132"/>
      <c r="P38" s="1132"/>
      <c r="Q38" s="1126"/>
      <c r="R38" s="1132"/>
      <c r="S38" s="1132"/>
      <c r="T38" s="1132"/>
      <c r="U38" s="1133"/>
      <c r="V38" s="1132"/>
      <c r="W38" s="1132"/>
      <c r="X38" s="1132"/>
      <c r="Y38" s="1126">
        <f>'ГБ 2015'!N93+'ГБ 2015'!N96+'ГБ 2015'!N109+'ГБ 2015'!N106+'ГБ 2015'!N231+'ГБ 2015'!N276+'ДФ 2015'!H15</f>
        <v>6917860.3056999985</v>
      </c>
      <c r="Z38" s="1126"/>
      <c r="AA38" s="1132"/>
      <c r="AB38" s="1132"/>
      <c r="AC38" s="1132"/>
      <c r="AD38" s="1132"/>
      <c r="AE38" s="1126"/>
      <c r="AF38" s="1132"/>
      <c r="AG38" s="1132"/>
      <c r="AH38" s="1132"/>
      <c r="AI38" s="1126"/>
      <c r="AJ38" s="1126"/>
      <c r="AK38" s="1126">
        <f t="shared" si="9"/>
        <v>6917860.3056999985</v>
      </c>
      <c r="AL38" s="1127"/>
      <c r="AM38" s="1128"/>
      <c r="AN38" s="1117"/>
      <c r="AO38" s="1117"/>
      <c r="AP38" s="1117"/>
      <c r="AQ38" s="1117"/>
      <c r="AR38" s="1117"/>
      <c r="AS38" s="1117"/>
      <c r="AT38" s="1117"/>
      <c r="AU38" s="1117"/>
      <c r="AV38" s="1117"/>
      <c r="AW38" s="1117"/>
      <c r="AX38" s="1117"/>
      <c r="AY38" s="1117"/>
      <c r="AZ38" s="1117"/>
      <c r="BA38" s="1117"/>
      <c r="BB38" s="1117"/>
      <c r="BC38" s="1117"/>
      <c r="BD38" s="1117"/>
      <c r="BE38" s="1117"/>
      <c r="BF38" s="1117"/>
      <c r="BG38" s="1117"/>
      <c r="BH38" s="1117"/>
      <c r="BI38" s="1117"/>
      <c r="BJ38" s="1117"/>
      <c r="BK38" s="1117"/>
      <c r="BL38" s="1117"/>
      <c r="BM38" s="1117"/>
      <c r="BN38" s="1117"/>
      <c r="BO38" s="1117"/>
      <c r="BP38" s="1117"/>
      <c r="BQ38" s="1117"/>
      <c r="BR38" s="1117"/>
      <c r="BS38" s="1117"/>
      <c r="BT38" s="1117"/>
      <c r="BU38" s="1117"/>
      <c r="BV38" s="1117"/>
      <c r="BW38" s="1117"/>
      <c r="BX38" s="1117"/>
      <c r="BY38" s="1117"/>
      <c r="BZ38" s="1117"/>
      <c r="CA38" s="1117"/>
      <c r="CB38" s="1117"/>
      <c r="CC38" s="1117"/>
      <c r="CD38" s="1117"/>
      <c r="CE38" s="1117"/>
      <c r="CF38" s="1117"/>
      <c r="CG38" s="1117"/>
      <c r="CH38" s="1117"/>
      <c r="CI38" s="1117"/>
      <c r="CJ38" s="1117"/>
      <c r="CK38" s="1117"/>
      <c r="CL38" s="1117"/>
      <c r="CM38" s="1117"/>
      <c r="CN38" s="1117"/>
      <c r="CO38" s="1117"/>
      <c r="CP38" s="1117"/>
      <c r="CQ38" s="1117"/>
      <c r="CR38" s="1117"/>
      <c r="CS38" s="1117"/>
    </row>
    <row r="39" spans="1:97" s="1118" customFormat="1">
      <c r="A39" s="1130" t="s">
        <v>84</v>
      </c>
      <c r="B39" s="1131" t="s">
        <v>85</v>
      </c>
      <c r="C39" s="1126"/>
      <c r="D39" s="1132"/>
      <c r="E39" s="1132"/>
      <c r="F39" s="1132"/>
      <c r="G39" s="1126"/>
      <c r="H39" s="1132"/>
      <c r="I39" s="1132"/>
      <c r="J39" s="1132"/>
      <c r="K39" s="1126"/>
      <c r="L39" s="1132"/>
      <c r="M39" s="1132"/>
      <c r="N39" s="1132"/>
      <c r="O39" s="1132"/>
      <c r="P39" s="1132"/>
      <c r="Q39" s="1126"/>
      <c r="R39" s="1132"/>
      <c r="S39" s="1132"/>
      <c r="T39" s="1132"/>
      <c r="U39" s="1133"/>
      <c r="V39" s="1132"/>
      <c r="W39" s="1132"/>
      <c r="X39" s="1132"/>
      <c r="Y39" s="1126">
        <f>'ГБ 2015'!N134+'ГБ 2015'!N157</f>
        <v>19572678.6745</v>
      </c>
      <c r="Z39" s="1126"/>
      <c r="AA39" s="1132"/>
      <c r="AB39" s="1132"/>
      <c r="AC39" s="1132"/>
      <c r="AD39" s="1132"/>
      <c r="AE39" s="1126"/>
      <c r="AF39" s="1132"/>
      <c r="AG39" s="1132"/>
      <c r="AH39" s="1132"/>
      <c r="AI39" s="1126"/>
      <c r="AJ39" s="1126"/>
      <c r="AK39" s="1126">
        <f t="shared" si="9"/>
        <v>19572678.6745</v>
      </c>
      <c r="AL39" s="1127"/>
      <c r="AM39" s="1128"/>
      <c r="AN39" s="1117"/>
      <c r="AO39" s="1117"/>
      <c r="AP39" s="1117"/>
      <c r="AQ39" s="1117"/>
      <c r="AR39" s="1117"/>
      <c r="AS39" s="1117"/>
      <c r="AT39" s="1117"/>
      <c r="AU39" s="1117"/>
      <c r="AV39" s="1117"/>
      <c r="AW39" s="1117"/>
      <c r="AX39" s="1117"/>
      <c r="AY39" s="1117"/>
      <c r="AZ39" s="1117"/>
      <c r="BA39" s="1117"/>
      <c r="BB39" s="1117"/>
      <c r="BC39" s="1117"/>
      <c r="BD39" s="1117"/>
      <c r="BE39" s="1117"/>
      <c r="BF39" s="1117"/>
      <c r="BG39" s="1117"/>
      <c r="BH39" s="1117"/>
      <c r="BI39" s="1117"/>
      <c r="BJ39" s="1117"/>
      <c r="BK39" s="1117"/>
      <c r="BL39" s="1117"/>
      <c r="BM39" s="1117"/>
      <c r="BN39" s="1117"/>
      <c r="BO39" s="1117"/>
      <c r="BP39" s="1117"/>
      <c r="BQ39" s="1117"/>
      <c r="BR39" s="1117"/>
      <c r="BS39" s="1117"/>
      <c r="BT39" s="1117"/>
      <c r="BU39" s="1117"/>
      <c r="BV39" s="1117"/>
      <c r="BW39" s="1117"/>
      <c r="BX39" s="1117"/>
      <c r="BY39" s="1117"/>
      <c r="BZ39" s="1117"/>
      <c r="CA39" s="1117"/>
      <c r="CB39" s="1117"/>
      <c r="CC39" s="1117"/>
      <c r="CD39" s="1117"/>
      <c r="CE39" s="1117"/>
      <c r="CF39" s="1117"/>
      <c r="CG39" s="1117"/>
      <c r="CH39" s="1117"/>
      <c r="CI39" s="1117"/>
      <c r="CJ39" s="1117"/>
      <c r="CK39" s="1117"/>
      <c r="CL39" s="1117"/>
      <c r="CM39" s="1117"/>
      <c r="CN39" s="1117"/>
      <c r="CO39" s="1117"/>
      <c r="CP39" s="1117"/>
      <c r="CQ39" s="1117"/>
      <c r="CR39" s="1117"/>
      <c r="CS39" s="1117"/>
    </row>
    <row r="40" spans="1:97" s="1118" customFormat="1" ht="33.75">
      <c r="A40" s="1145" t="s">
        <v>1274</v>
      </c>
      <c r="B40" s="1146" t="s">
        <v>1275</v>
      </c>
      <c r="C40" s="1126"/>
      <c r="D40" s="1132"/>
      <c r="E40" s="1132"/>
      <c r="F40" s="1132"/>
      <c r="G40" s="1126"/>
      <c r="H40" s="1132"/>
      <c r="I40" s="1132"/>
      <c r="J40" s="1132"/>
      <c r="K40" s="1126"/>
      <c r="L40" s="1132"/>
      <c r="M40" s="1132"/>
      <c r="N40" s="1132"/>
      <c r="O40" s="1132"/>
      <c r="P40" s="1132"/>
      <c r="Q40" s="1126"/>
      <c r="R40" s="1132"/>
      <c r="S40" s="1132"/>
      <c r="T40" s="1132"/>
      <c r="U40" s="1133"/>
      <c r="V40" s="1132"/>
      <c r="W40" s="1132"/>
      <c r="X40" s="1132"/>
      <c r="Y40" s="1126">
        <f>'ГБ 2015'!N172+'ГБ 2015'!N185</f>
        <v>3956897.7944</v>
      </c>
      <c r="Z40" s="1126"/>
      <c r="AA40" s="1132"/>
      <c r="AB40" s="1132"/>
      <c r="AC40" s="1132"/>
      <c r="AD40" s="1132"/>
      <c r="AE40" s="1126"/>
      <c r="AF40" s="1132"/>
      <c r="AG40" s="1132"/>
      <c r="AH40" s="1132"/>
      <c r="AI40" s="1126"/>
      <c r="AJ40" s="1126"/>
      <c r="AK40" s="1126"/>
      <c r="AL40" s="1127"/>
      <c r="AM40" s="1128"/>
      <c r="AN40" s="1117"/>
      <c r="AO40" s="1117"/>
      <c r="AP40" s="1117"/>
      <c r="AQ40" s="1117"/>
      <c r="AR40" s="1117"/>
      <c r="AS40" s="1117"/>
      <c r="AT40" s="1117"/>
      <c r="AU40" s="1117"/>
      <c r="AV40" s="1117"/>
      <c r="AW40" s="1117"/>
      <c r="AX40" s="1117"/>
      <c r="AY40" s="1117"/>
      <c r="AZ40" s="1117"/>
      <c r="BA40" s="1117"/>
      <c r="BB40" s="1117"/>
      <c r="BC40" s="1117"/>
      <c r="BD40" s="1117"/>
      <c r="BE40" s="1117"/>
      <c r="BF40" s="1117"/>
      <c r="BG40" s="1117"/>
      <c r="BH40" s="1117"/>
      <c r="BI40" s="1117"/>
      <c r="BJ40" s="1117"/>
      <c r="BK40" s="1117"/>
      <c r="BL40" s="1117"/>
      <c r="BM40" s="1117"/>
      <c r="BN40" s="1117"/>
      <c r="BO40" s="1117"/>
      <c r="BP40" s="1117"/>
      <c r="BQ40" s="1117"/>
      <c r="BR40" s="1117"/>
      <c r="BS40" s="1117"/>
      <c r="BT40" s="1117"/>
      <c r="BU40" s="1117"/>
      <c r="BV40" s="1117"/>
      <c r="BW40" s="1117"/>
      <c r="BX40" s="1117"/>
      <c r="BY40" s="1117"/>
      <c r="BZ40" s="1117"/>
      <c r="CA40" s="1117"/>
      <c r="CB40" s="1117"/>
      <c r="CC40" s="1117"/>
      <c r="CD40" s="1117"/>
      <c r="CE40" s="1117"/>
      <c r="CF40" s="1117"/>
      <c r="CG40" s="1117"/>
      <c r="CH40" s="1117"/>
      <c r="CI40" s="1117"/>
      <c r="CJ40" s="1117"/>
      <c r="CK40" s="1117"/>
      <c r="CL40" s="1117"/>
      <c r="CM40" s="1117"/>
      <c r="CN40" s="1117"/>
      <c r="CO40" s="1117"/>
      <c r="CP40" s="1117"/>
      <c r="CQ40" s="1117"/>
      <c r="CR40" s="1117"/>
      <c r="CS40" s="1117"/>
    </row>
    <row r="41" spans="1:97" s="1118" customFormat="1" ht="22.5">
      <c r="A41" s="1141" t="s">
        <v>1874</v>
      </c>
      <c r="B41" s="1135" t="s">
        <v>1875</v>
      </c>
      <c r="C41" s="1126"/>
      <c r="D41" s="1132"/>
      <c r="E41" s="1132"/>
      <c r="F41" s="1132"/>
      <c r="G41" s="1126">
        <f>H41+J41+I41</f>
        <v>3232710.3705000002</v>
      </c>
      <c r="H41" s="1132"/>
      <c r="I41" s="1132"/>
      <c r="J41" s="1132">
        <f>'ГБ 2015'!N90+'ГБ 2015'!N103</f>
        <v>3232710.3705000002</v>
      </c>
      <c r="K41" s="1126"/>
      <c r="L41" s="1132"/>
      <c r="M41" s="1132"/>
      <c r="N41" s="1132"/>
      <c r="O41" s="1132"/>
      <c r="P41" s="1132"/>
      <c r="Q41" s="1126"/>
      <c r="R41" s="1132"/>
      <c r="S41" s="1132"/>
      <c r="T41" s="1132"/>
      <c r="U41" s="1133"/>
      <c r="V41" s="1132"/>
      <c r="W41" s="1132"/>
      <c r="X41" s="1132"/>
      <c r="Y41" s="1126"/>
      <c r="Z41" s="1126"/>
      <c r="AA41" s="1132"/>
      <c r="AB41" s="1132"/>
      <c r="AC41" s="1132"/>
      <c r="AD41" s="1132"/>
      <c r="AE41" s="1126"/>
      <c r="AF41" s="1132"/>
      <c r="AG41" s="1132"/>
      <c r="AH41" s="1132"/>
      <c r="AI41" s="1126"/>
      <c r="AJ41" s="1126"/>
      <c r="AK41" s="1126">
        <f>C41+G41+K41+Q41+U41+Y41+Z41+AE41+AI41+AJ41</f>
        <v>3232710.3705000002</v>
      </c>
      <c r="AL41" s="1127"/>
      <c r="AM41" s="1128"/>
      <c r="AN41" s="1117"/>
      <c r="AO41" s="1117"/>
      <c r="AP41" s="1117"/>
      <c r="AQ41" s="1117"/>
      <c r="AR41" s="1117"/>
      <c r="AS41" s="1117"/>
      <c r="AT41" s="1117"/>
      <c r="AU41" s="1117"/>
      <c r="AV41" s="1117"/>
      <c r="AW41" s="1117"/>
      <c r="AX41" s="1117"/>
      <c r="AY41" s="1117"/>
      <c r="AZ41" s="1117"/>
      <c r="BA41" s="1117"/>
      <c r="BB41" s="1117"/>
      <c r="BC41" s="1117"/>
      <c r="BD41" s="1117"/>
      <c r="BE41" s="1117"/>
      <c r="BF41" s="1117"/>
      <c r="BG41" s="1117"/>
      <c r="BH41" s="1117"/>
      <c r="BI41" s="1117"/>
      <c r="BJ41" s="1117"/>
      <c r="BK41" s="1117"/>
      <c r="BL41" s="1117"/>
      <c r="BM41" s="1117"/>
      <c r="BN41" s="1117"/>
      <c r="BO41" s="1117"/>
      <c r="BP41" s="1117"/>
      <c r="BQ41" s="1117"/>
      <c r="BR41" s="1117"/>
      <c r="BS41" s="1117"/>
      <c r="BT41" s="1117"/>
      <c r="BU41" s="1117"/>
      <c r="BV41" s="1117"/>
      <c r="BW41" s="1117"/>
      <c r="BX41" s="1117"/>
      <c r="BY41" s="1117"/>
      <c r="BZ41" s="1117"/>
      <c r="CA41" s="1117"/>
      <c r="CB41" s="1117"/>
      <c r="CC41" s="1117"/>
      <c r="CD41" s="1117"/>
      <c r="CE41" s="1117"/>
      <c r="CF41" s="1117"/>
      <c r="CG41" s="1117"/>
      <c r="CH41" s="1117"/>
      <c r="CI41" s="1117"/>
      <c r="CJ41" s="1117"/>
      <c r="CK41" s="1117"/>
      <c r="CL41" s="1117"/>
      <c r="CM41" s="1117"/>
      <c r="CN41" s="1117"/>
      <c r="CO41" s="1117"/>
      <c r="CP41" s="1117"/>
      <c r="CQ41" s="1117"/>
      <c r="CR41" s="1117"/>
      <c r="CS41" s="1117"/>
    </row>
    <row r="42" spans="1:97" s="1118" customFormat="1" ht="56.25">
      <c r="A42" s="1130" t="s">
        <v>86</v>
      </c>
      <c r="B42" s="1131" t="s">
        <v>87</v>
      </c>
      <c r="C42" s="1126"/>
      <c r="D42" s="1132"/>
      <c r="E42" s="1132"/>
      <c r="F42" s="1132"/>
      <c r="G42" s="1126"/>
      <c r="H42" s="1132"/>
      <c r="I42" s="1132"/>
      <c r="J42" s="1132"/>
      <c r="K42" s="1126"/>
      <c r="L42" s="1132"/>
      <c r="M42" s="1132"/>
      <c r="N42" s="1132"/>
      <c r="O42" s="1132"/>
      <c r="P42" s="1132"/>
      <c r="Q42" s="1126"/>
      <c r="R42" s="1132"/>
      <c r="S42" s="1132"/>
      <c r="T42" s="1132"/>
      <c r="U42" s="1133"/>
      <c r="V42" s="1132"/>
      <c r="W42" s="1132"/>
      <c r="X42" s="1132"/>
      <c r="Y42" s="1126">
        <f>'ДФ 2015'!H11+'ГБ 2015'!N84+'ГБ 2015'!N98+'ГБ 2015'!N111+'ГБ 2015'!N113</f>
        <v>11884220.13456</v>
      </c>
      <c r="Z42" s="1126"/>
      <c r="AA42" s="1132"/>
      <c r="AB42" s="1132"/>
      <c r="AC42" s="1132"/>
      <c r="AD42" s="1132"/>
      <c r="AE42" s="1126"/>
      <c r="AF42" s="1132"/>
      <c r="AG42" s="1132"/>
      <c r="AH42" s="1132"/>
      <c r="AI42" s="1126"/>
      <c r="AJ42" s="1126"/>
      <c r="AK42" s="1126">
        <f>C42+G42+K42+Q42+U42+Y42+Z42+AE42+AI42+AJ42</f>
        <v>11884220.13456</v>
      </c>
      <c r="AL42" s="1127"/>
      <c r="AM42" s="1128"/>
      <c r="AN42" s="1117"/>
      <c r="AO42" s="1117"/>
      <c r="AP42" s="1117"/>
      <c r="AQ42" s="1117"/>
      <c r="AR42" s="1117"/>
      <c r="AS42" s="1117"/>
      <c r="AT42" s="1117"/>
      <c r="AU42" s="1117"/>
      <c r="AV42" s="1117"/>
      <c r="AW42" s="1117"/>
      <c r="AX42" s="1117"/>
      <c r="AY42" s="1117"/>
      <c r="AZ42" s="1117"/>
      <c r="BA42" s="1117"/>
      <c r="BB42" s="1117"/>
      <c r="BC42" s="1117"/>
      <c r="BD42" s="1117"/>
      <c r="BE42" s="1117"/>
      <c r="BF42" s="1117"/>
      <c r="BG42" s="1117"/>
      <c r="BH42" s="1117"/>
      <c r="BI42" s="1117"/>
      <c r="BJ42" s="1117"/>
      <c r="BK42" s="1117"/>
      <c r="BL42" s="1117"/>
      <c r="BM42" s="1117"/>
      <c r="BN42" s="1117"/>
      <c r="BO42" s="1117"/>
      <c r="BP42" s="1117"/>
      <c r="BQ42" s="1117"/>
      <c r="BR42" s="1117"/>
      <c r="BS42" s="1117"/>
      <c r="BT42" s="1117"/>
      <c r="BU42" s="1117"/>
      <c r="BV42" s="1117"/>
      <c r="BW42" s="1117"/>
      <c r="BX42" s="1117"/>
      <c r="BY42" s="1117"/>
      <c r="BZ42" s="1117"/>
      <c r="CA42" s="1117"/>
      <c r="CB42" s="1117"/>
      <c r="CC42" s="1117"/>
      <c r="CD42" s="1117"/>
      <c r="CE42" s="1117"/>
      <c r="CF42" s="1117"/>
      <c r="CG42" s="1117"/>
      <c r="CH42" s="1117"/>
      <c r="CI42" s="1117"/>
      <c r="CJ42" s="1117"/>
      <c r="CK42" s="1117"/>
      <c r="CL42" s="1117"/>
      <c r="CM42" s="1117"/>
      <c r="CN42" s="1117"/>
      <c r="CO42" s="1117"/>
      <c r="CP42" s="1117"/>
      <c r="CQ42" s="1117"/>
      <c r="CR42" s="1117"/>
      <c r="CS42" s="1117"/>
    </row>
    <row r="43" spans="1:97" s="1118" customFormat="1" ht="45">
      <c r="A43" s="1134" t="s">
        <v>1924</v>
      </c>
      <c r="B43" s="1135" t="s">
        <v>1925</v>
      </c>
      <c r="C43" s="1126"/>
      <c r="D43" s="1132"/>
      <c r="E43" s="1132"/>
      <c r="F43" s="1132"/>
      <c r="G43" s="1126"/>
      <c r="H43" s="1132"/>
      <c r="I43" s="1132"/>
      <c r="J43" s="1132"/>
      <c r="K43" s="1126"/>
      <c r="L43" s="1132"/>
      <c r="M43" s="1132"/>
      <c r="N43" s="1132"/>
      <c r="O43" s="1132"/>
      <c r="P43" s="1132"/>
      <c r="Q43" s="1126"/>
      <c r="R43" s="1132"/>
      <c r="S43" s="1132"/>
      <c r="T43" s="1132"/>
      <c r="U43" s="1133"/>
      <c r="V43" s="1132"/>
      <c r="W43" s="1132"/>
      <c r="X43" s="1132"/>
      <c r="Y43" s="1126"/>
      <c r="Z43" s="1126"/>
      <c r="AA43" s="1132"/>
      <c r="AB43" s="1132"/>
      <c r="AC43" s="1132"/>
      <c r="AD43" s="1132"/>
      <c r="AE43" s="1126"/>
      <c r="AF43" s="1132"/>
      <c r="AG43" s="1132"/>
      <c r="AH43" s="1132"/>
      <c r="AI43" s="1126"/>
      <c r="AJ43" s="1126"/>
      <c r="AK43" s="1126"/>
      <c r="AL43" s="1127"/>
      <c r="AM43" s="1128"/>
      <c r="AN43" s="1117"/>
      <c r="AO43" s="1117"/>
      <c r="AP43" s="1117"/>
      <c r="AQ43" s="1117"/>
      <c r="AR43" s="1117"/>
      <c r="AS43" s="1117"/>
      <c r="AT43" s="1117"/>
      <c r="AU43" s="1117"/>
      <c r="AV43" s="1117"/>
      <c r="AW43" s="1117"/>
      <c r="AX43" s="1117"/>
      <c r="AY43" s="1117"/>
      <c r="AZ43" s="1117"/>
      <c r="BA43" s="1117"/>
      <c r="BB43" s="1117"/>
      <c r="BC43" s="1117"/>
      <c r="BD43" s="1117"/>
      <c r="BE43" s="1117"/>
      <c r="BF43" s="1117"/>
      <c r="BG43" s="1117"/>
      <c r="BH43" s="1117"/>
      <c r="BI43" s="1117"/>
      <c r="BJ43" s="1117"/>
      <c r="BK43" s="1117"/>
      <c r="BL43" s="1117"/>
      <c r="BM43" s="1117"/>
      <c r="BN43" s="1117"/>
      <c r="BO43" s="1117"/>
      <c r="BP43" s="1117"/>
      <c r="BQ43" s="1117"/>
      <c r="BR43" s="1117"/>
      <c r="BS43" s="1117"/>
      <c r="BT43" s="1117"/>
      <c r="BU43" s="1117"/>
      <c r="BV43" s="1117"/>
      <c r="BW43" s="1117"/>
      <c r="BX43" s="1117"/>
      <c r="BY43" s="1117"/>
      <c r="BZ43" s="1117"/>
      <c r="CA43" s="1117"/>
      <c r="CB43" s="1117"/>
      <c r="CC43" s="1117"/>
      <c r="CD43" s="1117"/>
      <c r="CE43" s="1117"/>
      <c r="CF43" s="1117"/>
      <c r="CG43" s="1117"/>
      <c r="CH43" s="1117"/>
      <c r="CI43" s="1117"/>
      <c r="CJ43" s="1117"/>
      <c r="CK43" s="1117"/>
      <c r="CL43" s="1117"/>
      <c r="CM43" s="1117"/>
      <c r="CN43" s="1117"/>
      <c r="CO43" s="1117"/>
      <c r="CP43" s="1117"/>
      <c r="CQ43" s="1117"/>
      <c r="CR43" s="1117"/>
      <c r="CS43" s="1117"/>
    </row>
    <row r="44" spans="1:97" s="1118" customFormat="1" ht="45">
      <c r="A44" s="1125" t="s">
        <v>88</v>
      </c>
      <c r="B44" s="1125" t="s">
        <v>89</v>
      </c>
      <c r="C44" s="1126"/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6"/>
      <c r="U44" s="1126"/>
      <c r="V44" s="1126"/>
      <c r="W44" s="1126"/>
      <c r="X44" s="1126"/>
      <c r="Y44" s="1126"/>
      <c r="Z44" s="1126">
        <f t="shared" ref="Z44:AK44" si="16">Z45+Z46</f>
        <v>5257066.0523000006</v>
      </c>
      <c r="AA44" s="1126">
        <f t="shared" si="16"/>
        <v>2549247.0523000001</v>
      </c>
      <c r="AB44" s="1126"/>
      <c r="AC44" s="1126">
        <f t="shared" si="16"/>
        <v>2707819</v>
      </c>
      <c r="AD44" s="1126"/>
      <c r="AE44" s="1126"/>
      <c r="AF44" s="1126"/>
      <c r="AG44" s="1126"/>
      <c r="AH44" s="1126"/>
      <c r="AI44" s="1126"/>
      <c r="AJ44" s="1126">
        <f t="shared" si="16"/>
        <v>5128032.3819000004</v>
      </c>
      <c r="AK44" s="1126">
        <f t="shared" si="16"/>
        <v>10385098.4342</v>
      </c>
      <c r="AL44" s="1127"/>
      <c r="AM44" s="1128"/>
      <c r="AN44" s="1117"/>
      <c r="AO44" s="1117"/>
      <c r="AP44" s="1117"/>
      <c r="AQ44" s="1117"/>
      <c r="AR44" s="1117"/>
      <c r="AS44" s="1117"/>
      <c r="AT44" s="1117"/>
      <c r="AU44" s="1117"/>
      <c r="AV44" s="1117"/>
      <c r="AW44" s="1117"/>
      <c r="AX44" s="1117"/>
      <c r="AY44" s="1117"/>
      <c r="AZ44" s="1117"/>
      <c r="BA44" s="1117"/>
      <c r="BB44" s="1117"/>
      <c r="BC44" s="1117"/>
      <c r="BD44" s="1117"/>
      <c r="BE44" s="1117"/>
      <c r="BF44" s="1117"/>
      <c r="BG44" s="1117"/>
      <c r="BH44" s="1117"/>
      <c r="BI44" s="1117"/>
      <c r="BJ44" s="1117"/>
      <c r="BK44" s="1117"/>
      <c r="BL44" s="1117"/>
      <c r="BM44" s="1117"/>
      <c r="BN44" s="1117"/>
      <c r="BO44" s="1117"/>
      <c r="BP44" s="1117"/>
      <c r="BQ44" s="1117"/>
      <c r="BR44" s="1117"/>
      <c r="BS44" s="1117"/>
      <c r="BT44" s="1117"/>
      <c r="BU44" s="1117"/>
      <c r="BV44" s="1117"/>
      <c r="BW44" s="1117"/>
      <c r="BX44" s="1117"/>
      <c r="BY44" s="1117"/>
      <c r="BZ44" s="1117"/>
      <c r="CA44" s="1117"/>
      <c r="CB44" s="1117"/>
      <c r="CC44" s="1117"/>
      <c r="CD44" s="1117"/>
      <c r="CE44" s="1117"/>
      <c r="CF44" s="1117"/>
      <c r="CG44" s="1117"/>
      <c r="CH44" s="1117"/>
      <c r="CI44" s="1117"/>
      <c r="CJ44" s="1117"/>
      <c r="CK44" s="1117"/>
      <c r="CL44" s="1117"/>
      <c r="CM44" s="1117"/>
      <c r="CN44" s="1117"/>
      <c r="CO44" s="1117"/>
      <c r="CP44" s="1117"/>
      <c r="CQ44" s="1117"/>
      <c r="CR44" s="1117"/>
      <c r="CS44" s="1117"/>
    </row>
    <row r="45" spans="1:97" s="1118" customFormat="1" ht="45">
      <c r="A45" s="1130" t="s">
        <v>90</v>
      </c>
      <c r="B45" s="1131" t="s">
        <v>89</v>
      </c>
      <c r="C45" s="1126"/>
      <c r="D45" s="1132"/>
      <c r="E45" s="1132"/>
      <c r="F45" s="1132"/>
      <c r="G45" s="1126"/>
      <c r="H45" s="1132"/>
      <c r="I45" s="1132"/>
      <c r="J45" s="1132"/>
      <c r="K45" s="1126"/>
      <c r="L45" s="1132"/>
      <c r="M45" s="1132"/>
      <c r="N45" s="1132"/>
      <c r="O45" s="1132"/>
      <c r="P45" s="1132"/>
      <c r="Q45" s="1126"/>
      <c r="R45" s="1132"/>
      <c r="S45" s="1132"/>
      <c r="T45" s="1132"/>
      <c r="U45" s="1133"/>
      <c r="V45" s="1132"/>
      <c r="W45" s="1132"/>
      <c r="X45" s="1132"/>
      <c r="Y45" s="1126"/>
      <c r="Z45" s="1126">
        <f>AA45+AC45+AB45+AD45</f>
        <v>2549247.0523000001</v>
      </c>
      <c r="AA45" s="1132">
        <f>'ГБ 2015'!N273+'ГБ 2015'!N228+'ГБ 2015'!N283+'ГБ 2015'!N238</f>
        <v>2549247.0523000001</v>
      </c>
      <c r="AB45" s="1132"/>
      <c r="AC45" s="1132"/>
      <c r="AD45" s="1132"/>
      <c r="AE45" s="1126"/>
      <c r="AF45" s="1132"/>
      <c r="AG45" s="1132"/>
      <c r="AH45" s="1132"/>
      <c r="AI45" s="1126"/>
      <c r="AJ45" s="1126">
        <f>'ГБ 2015'!N241+'ГБ 2015'!N220</f>
        <v>5128032.3819000004</v>
      </c>
      <c r="AK45" s="1126">
        <f>C45+G45+K45+Q45+U45+Y45+Z45+AE45+AI45+AJ45</f>
        <v>7677279.4342</v>
      </c>
      <c r="AL45" s="1127"/>
      <c r="AM45" s="1128"/>
      <c r="AN45" s="1117"/>
      <c r="AO45" s="1117"/>
      <c r="AP45" s="1117"/>
      <c r="AQ45" s="1117"/>
      <c r="AR45" s="1117"/>
      <c r="AS45" s="1117"/>
      <c r="AT45" s="1117"/>
      <c r="AU45" s="1117"/>
      <c r="AV45" s="1117"/>
      <c r="AW45" s="1117"/>
      <c r="AX45" s="1117"/>
      <c r="AY45" s="1117"/>
      <c r="AZ45" s="1117"/>
      <c r="BA45" s="1117"/>
      <c r="BB45" s="1117"/>
      <c r="BC45" s="1117"/>
      <c r="BD45" s="1117"/>
      <c r="BE45" s="1117"/>
      <c r="BF45" s="1117"/>
      <c r="BG45" s="1117"/>
      <c r="BH45" s="1117"/>
      <c r="BI45" s="1117"/>
      <c r="BJ45" s="1117"/>
      <c r="BK45" s="1117"/>
      <c r="BL45" s="1117"/>
      <c r="BM45" s="1117"/>
      <c r="BN45" s="1117"/>
      <c r="BO45" s="1117"/>
      <c r="BP45" s="1117"/>
      <c r="BQ45" s="1117"/>
      <c r="BR45" s="1117"/>
      <c r="BS45" s="1117"/>
      <c r="BT45" s="1117"/>
      <c r="BU45" s="1117"/>
      <c r="BV45" s="1117"/>
      <c r="BW45" s="1117"/>
      <c r="BX45" s="1117"/>
      <c r="BY45" s="1117"/>
      <c r="BZ45" s="1117"/>
      <c r="CA45" s="1117"/>
      <c r="CB45" s="1117"/>
      <c r="CC45" s="1117"/>
      <c r="CD45" s="1117"/>
      <c r="CE45" s="1117"/>
      <c r="CF45" s="1117"/>
      <c r="CG45" s="1117"/>
      <c r="CH45" s="1117"/>
      <c r="CI45" s="1117"/>
      <c r="CJ45" s="1117"/>
      <c r="CK45" s="1117"/>
      <c r="CL45" s="1117"/>
      <c r="CM45" s="1117"/>
      <c r="CN45" s="1117"/>
      <c r="CO45" s="1117"/>
      <c r="CP45" s="1117"/>
      <c r="CQ45" s="1117"/>
      <c r="CR45" s="1117"/>
      <c r="CS45" s="1117"/>
    </row>
    <row r="46" spans="1:97" s="1118" customFormat="1" ht="33.75">
      <c r="A46" s="1130" t="s">
        <v>91</v>
      </c>
      <c r="B46" s="1131" t="s">
        <v>92</v>
      </c>
      <c r="C46" s="1126"/>
      <c r="D46" s="1132"/>
      <c r="E46" s="1132"/>
      <c r="F46" s="1132"/>
      <c r="G46" s="1126"/>
      <c r="H46" s="1132"/>
      <c r="I46" s="1132"/>
      <c r="J46" s="1132"/>
      <c r="K46" s="1126"/>
      <c r="L46" s="1132"/>
      <c r="M46" s="1132"/>
      <c r="N46" s="1132"/>
      <c r="O46" s="1132"/>
      <c r="P46" s="1132"/>
      <c r="Q46" s="1126"/>
      <c r="R46" s="1132"/>
      <c r="S46" s="1132"/>
      <c r="T46" s="1132"/>
      <c r="U46" s="1133"/>
      <c r="V46" s="1132"/>
      <c r="W46" s="1132"/>
      <c r="X46" s="1132"/>
      <c r="Y46" s="1126"/>
      <c r="Z46" s="1126">
        <f>AA46+AC46+AB46+AD46</f>
        <v>2707819</v>
      </c>
      <c r="AA46" s="1132"/>
      <c r="AB46" s="1132"/>
      <c r="AC46" s="1132">
        <f>'НБ прем.'!F30</f>
        <v>2707819</v>
      </c>
      <c r="AD46" s="1132"/>
      <c r="AE46" s="1126"/>
      <c r="AF46" s="1132"/>
      <c r="AG46" s="1132"/>
      <c r="AH46" s="1132"/>
      <c r="AI46" s="1126"/>
      <c r="AJ46" s="1126"/>
      <c r="AK46" s="1126">
        <f>C46+G46+K46+Q46+U46+Y46+Z46+AE46+AI46+AJ46</f>
        <v>2707819</v>
      </c>
      <c r="AL46" s="1127"/>
      <c r="AM46" s="1128"/>
      <c r="AN46" s="1117"/>
      <c r="AO46" s="1117"/>
      <c r="AP46" s="1117"/>
      <c r="AQ46" s="1117"/>
      <c r="AR46" s="1117"/>
      <c r="AS46" s="1117"/>
      <c r="AT46" s="1117"/>
      <c r="AU46" s="1117"/>
      <c r="AV46" s="1117"/>
      <c r="AW46" s="1117"/>
      <c r="AX46" s="1117"/>
      <c r="AY46" s="1117"/>
      <c r="AZ46" s="1117"/>
      <c r="BA46" s="1117"/>
      <c r="BB46" s="1117"/>
      <c r="BC46" s="1117"/>
      <c r="BD46" s="1117"/>
      <c r="BE46" s="1117"/>
      <c r="BF46" s="1117"/>
      <c r="BG46" s="1117"/>
      <c r="BH46" s="1117"/>
      <c r="BI46" s="1117"/>
      <c r="BJ46" s="1117"/>
      <c r="BK46" s="1117"/>
      <c r="BL46" s="1117"/>
      <c r="BM46" s="1117"/>
      <c r="BN46" s="1117"/>
      <c r="BO46" s="1117"/>
      <c r="BP46" s="1117"/>
      <c r="BQ46" s="1117"/>
      <c r="BR46" s="1117"/>
      <c r="BS46" s="1117"/>
      <c r="BT46" s="1117"/>
      <c r="BU46" s="1117"/>
      <c r="BV46" s="1117"/>
      <c r="BW46" s="1117"/>
      <c r="BX46" s="1117"/>
      <c r="BY46" s="1117"/>
      <c r="BZ46" s="1117"/>
      <c r="CA46" s="1117"/>
      <c r="CB46" s="1117"/>
      <c r="CC46" s="1117"/>
      <c r="CD46" s="1117"/>
      <c r="CE46" s="1117"/>
      <c r="CF46" s="1117"/>
      <c r="CG46" s="1117"/>
      <c r="CH46" s="1117"/>
      <c r="CI46" s="1117"/>
      <c r="CJ46" s="1117"/>
      <c r="CK46" s="1117"/>
      <c r="CL46" s="1117"/>
      <c r="CM46" s="1117"/>
      <c r="CN46" s="1117"/>
      <c r="CO46" s="1117"/>
      <c r="CP46" s="1117"/>
      <c r="CQ46" s="1117"/>
      <c r="CR46" s="1117"/>
      <c r="CS46" s="1117"/>
    </row>
    <row r="47" spans="1:97" s="1118" customFormat="1">
      <c r="A47" s="1147" t="s">
        <v>1876</v>
      </c>
      <c r="B47" s="1148" t="s">
        <v>1877</v>
      </c>
      <c r="C47" s="1126"/>
      <c r="D47" s="1126"/>
      <c r="E47" s="1126"/>
      <c r="F47" s="1126"/>
      <c r="G47" s="1126"/>
      <c r="H47" s="1126"/>
      <c r="I47" s="1126"/>
      <c r="J47" s="1126"/>
      <c r="K47" s="1126"/>
      <c r="L47" s="1126"/>
      <c r="M47" s="1126"/>
      <c r="N47" s="1126"/>
      <c r="O47" s="1126"/>
      <c r="P47" s="1126"/>
      <c r="Q47" s="1126"/>
      <c r="R47" s="1126"/>
      <c r="S47" s="1126"/>
      <c r="T47" s="1126"/>
      <c r="U47" s="1126"/>
      <c r="V47" s="1126"/>
      <c r="W47" s="1126"/>
      <c r="X47" s="1126"/>
      <c r="Y47" s="1126"/>
      <c r="Z47" s="1126"/>
      <c r="AA47" s="1126"/>
      <c r="AB47" s="1126"/>
      <c r="AC47" s="1126"/>
      <c r="AD47" s="1126"/>
      <c r="AE47" s="1126"/>
      <c r="AF47" s="1126"/>
      <c r="AG47" s="1126"/>
      <c r="AH47" s="1126"/>
      <c r="AI47" s="1126"/>
      <c r="AJ47" s="1126">
        <f>'ГБ 2015'!N290</f>
        <v>137737.83499999999</v>
      </c>
      <c r="AK47" s="1126">
        <f>C47+G47+K47+Q47+U47+Y47+Z47+AE47+AI47+AJ47</f>
        <v>137737.83499999999</v>
      </c>
      <c r="AL47" s="1127"/>
      <c r="AM47" s="1128"/>
      <c r="AN47" s="1117"/>
      <c r="AO47" s="1117"/>
      <c r="AP47" s="1117"/>
      <c r="AQ47" s="1117"/>
      <c r="AR47" s="1117"/>
      <c r="AS47" s="1117"/>
      <c r="AT47" s="1117"/>
      <c r="AU47" s="1117"/>
      <c r="AV47" s="1117"/>
      <c r="AW47" s="1117"/>
      <c r="AX47" s="1117"/>
      <c r="AY47" s="1117"/>
      <c r="AZ47" s="1117"/>
      <c r="BA47" s="1117"/>
      <c r="BB47" s="1117"/>
      <c r="BC47" s="1117"/>
      <c r="BD47" s="1117"/>
      <c r="BE47" s="1117"/>
      <c r="BF47" s="1117"/>
      <c r="BG47" s="1117"/>
      <c r="BH47" s="1117"/>
      <c r="BI47" s="1117"/>
      <c r="BJ47" s="1117"/>
      <c r="BK47" s="1117"/>
      <c r="BL47" s="1117"/>
      <c r="BM47" s="1117"/>
      <c r="BN47" s="1117"/>
      <c r="BO47" s="1117"/>
      <c r="BP47" s="1117"/>
      <c r="BQ47" s="1117"/>
      <c r="BR47" s="1117"/>
      <c r="BS47" s="1117"/>
      <c r="BT47" s="1117"/>
      <c r="BU47" s="1117"/>
      <c r="BV47" s="1117"/>
      <c r="BW47" s="1117"/>
      <c r="BX47" s="1117"/>
      <c r="BY47" s="1117"/>
      <c r="BZ47" s="1117"/>
      <c r="CA47" s="1117"/>
      <c r="CB47" s="1117"/>
      <c r="CC47" s="1117"/>
      <c r="CD47" s="1117"/>
      <c r="CE47" s="1117"/>
      <c r="CF47" s="1117"/>
      <c r="CG47" s="1117"/>
      <c r="CH47" s="1117"/>
      <c r="CI47" s="1117"/>
      <c r="CJ47" s="1117"/>
      <c r="CK47" s="1117"/>
      <c r="CL47" s="1117"/>
      <c r="CM47" s="1117"/>
      <c r="CN47" s="1117"/>
      <c r="CO47" s="1117"/>
      <c r="CP47" s="1117"/>
      <c r="CQ47" s="1117"/>
      <c r="CR47" s="1117"/>
      <c r="CS47" s="1117"/>
    </row>
    <row r="48" spans="1:97" s="1118" customFormat="1" ht="38.1" customHeight="1">
      <c r="A48" s="1256" t="s">
        <v>46</v>
      </c>
      <c r="B48" s="1257"/>
      <c r="C48" s="1126">
        <f t="shared" ref="C48:AC48" si="17">C4+C5+C22+C27+C31+C37+C44+C47</f>
        <v>421981749.91577423</v>
      </c>
      <c r="D48" s="1126">
        <f t="shared" si="17"/>
        <v>213880698.98385674</v>
      </c>
      <c r="E48" s="1126">
        <f t="shared" si="17"/>
        <v>17905770.29696054</v>
      </c>
      <c r="F48" s="1126">
        <f t="shared" si="17"/>
        <v>147969637.63495699</v>
      </c>
      <c r="G48" s="1126">
        <f t="shared" si="17"/>
        <v>3501890.3625000003</v>
      </c>
      <c r="H48" s="1126">
        <f t="shared" si="17"/>
        <v>269179.99199999997</v>
      </c>
      <c r="I48" s="1126"/>
      <c r="J48" s="1126">
        <f t="shared" si="17"/>
        <v>3232710.3705000002</v>
      </c>
      <c r="K48" s="1126">
        <f t="shared" si="17"/>
        <v>358597251.49890798</v>
      </c>
      <c r="L48" s="1126">
        <f t="shared" si="17"/>
        <v>265272949.54702762</v>
      </c>
      <c r="M48" s="1126">
        <f t="shared" si="17"/>
        <v>17198937</v>
      </c>
      <c r="N48" s="1126">
        <f t="shared" si="17"/>
        <v>61701558.851880357</v>
      </c>
      <c r="O48" s="1126">
        <f t="shared" si="17"/>
        <v>14423806.100000001</v>
      </c>
      <c r="P48" s="1126"/>
      <c r="Q48" s="1126">
        <f t="shared" si="17"/>
        <v>83287235.822737813</v>
      </c>
      <c r="R48" s="1126">
        <f t="shared" si="17"/>
        <v>35673276.222737812</v>
      </c>
      <c r="S48" s="1126"/>
      <c r="T48" s="1126">
        <f t="shared" si="17"/>
        <v>22259820.600000001</v>
      </c>
      <c r="U48" s="1126">
        <f t="shared" si="17"/>
        <v>318162757.58579999</v>
      </c>
      <c r="V48" s="1126">
        <f t="shared" si="17"/>
        <v>318162757.58579999</v>
      </c>
      <c r="W48" s="1126">
        <f t="shared" si="17"/>
        <v>0</v>
      </c>
      <c r="X48" s="1126">
        <f t="shared" si="17"/>
        <v>0</v>
      </c>
      <c r="Y48" s="1126">
        <f t="shared" si="17"/>
        <v>42331656.909159996</v>
      </c>
      <c r="Z48" s="1126">
        <f t="shared" si="17"/>
        <v>5257066.0523000006</v>
      </c>
      <c r="AA48" s="1126">
        <f t="shared" si="17"/>
        <v>2549247.0523000001</v>
      </c>
      <c r="AB48" s="1126"/>
      <c r="AC48" s="1126">
        <f t="shared" si="17"/>
        <v>2707819</v>
      </c>
      <c r="AD48" s="1126"/>
      <c r="AE48" s="1126">
        <f>AG48+AH48+AF48</f>
        <v>4427080.3999999985</v>
      </c>
      <c r="AF48" s="1126"/>
      <c r="AG48" s="1126">
        <f t="shared" ref="AG48:AJ48" si="18">AG4+AG5+AG22+AG27+AG31+AG37+AG44+AG47</f>
        <v>4427080.3999999985</v>
      </c>
      <c r="AH48" s="1126"/>
      <c r="AI48" s="1126">
        <f t="shared" si="18"/>
        <v>1612487.7891899999</v>
      </c>
      <c r="AJ48" s="1126">
        <f t="shared" si="18"/>
        <v>5265770.2169000003</v>
      </c>
      <c r="AK48" s="1126">
        <f>AK4+AK5+AK22+AK27+AK31+AK37+AK44+AK47</f>
        <v>1244424946.5532701</v>
      </c>
      <c r="AL48" s="1127"/>
      <c r="AM48" s="1128"/>
      <c r="AN48" s="1117"/>
      <c r="AO48" s="1117"/>
      <c r="AP48" s="1117"/>
      <c r="AQ48" s="1117"/>
      <c r="AR48" s="1117"/>
      <c r="AS48" s="1117"/>
      <c r="AT48" s="1117"/>
      <c r="AU48" s="1117"/>
      <c r="AV48" s="1117"/>
      <c r="AW48" s="1117"/>
      <c r="AX48" s="1117"/>
      <c r="AY48" s="1117"/>
      <c r="AZ48" s="1117"/>
      <c r="BA48" s="1117"/>
      <c r="BB48" s="1117"/>
      <c r="BC48" s="1117"/>
      <c r="BD48" s="1117"/>
      <c r="BE48" s="1117"/>
      <c r="BF48" s="1117"/>
      <c r="BG48" s="1117"/>
      <c r="BH48" s="1117"/>
      <c r="BI48" s="1117"/>
      <c r="BJ48" s="1117"/>
      <c r="BK48" s="1117"/>
      <c r="BL48" s="1117"/>
      <c r="BM48" s="1117"/>
      <c r="BN48" s="1117"/>
      <c r="BO48" s="1117"/>
      <c r="BP48" s="1117"/>
      <c r="BQ48" s="1117"/>
      <c r="BR48" s="1117"/>
      <c r="BS48" s="1117"/>
      <c r="BT48" s="1117"/>
      <c r="BU48" s="1117"/>
      <c r="BV48" s="1117"/>
      <c r="BW48" s="1117"/>
      <c r="BX48" s="1117"/>
      <c r="BY48" s="1117"/>
      <c r="BZ48" s="1117"/>
      <c r="CA48" s="1117"/>
      <c r="CB48" s="1117"/>
      <c r="CC48" s="1117"/>
      <c r="CD48" s="1117"/>
      <c r="CE48" s="1117"/>
      <c r="CF48" s="1117"/>
      <c r="CG48" s="1117"/>
      <c r="CH48" s="1117"/>
      <c r="CI48" s="1117"/>
      <c r="CJ48" s="1117"/>
      <c r="CK48" s="1117"/>
      <c r="CL48" s="1117"/>
      <c r="CM48" s="1117"/>
      <c r="CN48" s="1117"/>
      <c r="CO48" s="1117"/>
      <c r="CP48" s="1117"/>
      <c r="CQ48" s="1117"/>
      <c r="CR48" s="1117"/>
      <c r="CS48" s="1117"/>
    </row>
    <row r="49" spans="1:97">
      <c r="A49" s="1011"/>
      <c r="B49" s="1011"/>
      <c r="C49" s="1066"/>
      <c r="D49" s="1066"/>
      <c r="E49" s="1066"/>
      <c r="F49" s="1066"/>
      <c r="G49" s="1149"/>
      <c r="J49" s="1066"/>
      <c r="K49" s="1149"/>
      <c r="L49" s="1066"/>
      <c r="M49" s="1066"/>
      <c r="N49" s="1066"/>
      <c r="O49" s="1066"/>
      <c r="P49" s="1066"/>
      <c r="Q49" s="1149"/>
      <c r="R49" s="1066"/>
      <c r="S49" s="1066"/>
      <c r="T49" s="1066"/>
      <c r="U49" s="1149"/>
      <c r="V49" s="1066"/>
      <c r="W49" s="1066"/>
      <c r="X49" s="1066"/>
      <c r="Y49" s="1149"/>
      <c r="Z49" s="1149"/>
      <c r="AA49" s="1066"/>
      <c r="AB49" s="1066"/>
      <c r="AC49" s="1066"/>
      <c r="AD49" s="1066"/>
      <c r="AE49" s="1149"/>
      <c r="AF49" s="1066"/>
      <c r="AG49" s="1066"/>
      <c r="AH49" s="1066"/>
      <c r="AI49" s="1149"/>
      <c r="AJ49" s="1149"/>
      <c r="AK49" s="1149"/>
      <c r="AL49" s="1150"/>
      <c r="AM49" s="1151"/>
      <c r="AN49" s="1011"/>
      <c r="AO49" s="1011"/>
      <c r="AP49" s="1011"/>
      <c r="AQ49" s="1011"/>
      <c r="AR49" s="1011"/>
      <c r="AS49" s="1011"/>
      <c r="AT49" s="1011"/>
      <c r="AU49" s="1011"/>
      <c r="AV49" s="1011"/>
      <c r="AW49" s="1011"/>
      <c r="AX49" s="1011"/>
      <c r="AY49" s="1011"/>
      <c r="AZ49" s="1011"/>
      <c r="BA49" s="1011"/>
      <c r="BB49" s="1011"/>
      <c r="BC49" s="1011"/>
      <c r="BD49" s="1011"/>
      <c r="BE49" s="1011"/>
      <c r="BF49" s="1011"/>
      <c r="BG49" s="1011"/>
      <c r="BH49" s="1011"/>
      <c r="BI49" s="1011"/>
      <c r="BJ49" s="1011"/>
      <c r="BK49" s="1011"/>
      <c r="BL49" s="1011"/>
      <c r="BM49" s="1011"/>
      <c r="BN49" s="1011"/>
      <c r="BO49" s="1011"/>
      <c r="BP49" s="1011"/>
      <c r="BQ49" s="1011"/>
      <c r="BR49" s="1011"/>
      <c r="BS49" s="1011"/>
      <c r="BT49" s="1011"/>
      <c r="BU49" s="1011"/>
      <c r="BV49" s="1011"/>
      <c r="BW49" s="1011"/>
      <c r="BX49" s="1011"/>
      <c r="BY49" s="1011"/>
      <c r="BZ49" s="1011"/>
      <c r="CA49" s="1011"/>
      <c r="CB49" s="1011"/>
      <c r="CC49" s="1011"/>
      <c r="CD49" s="1011"/>
      <c r="CE49" s="1011"/>
      <c r="CF49" s="1011"/>
      <c r="CG49" s="1011"/>
      <c r="CH49" s="1011"/>
      <c r="CI49" s="1011"/>
      <c r="CJ49" s="1011"/>
      <c r="CK49" s="1011"/>
      <c r="CL49" s="1011"/>
      <c r="CM49" s="1011"/>
      <c r="CN49" s="1011"/>
      <c r="CO49" s="1011"/>
      <c r="CP49" s="1011"/>
      <c r="CQ49" s="1011"/>
      <c r="CR49" s="1011"/>
      <c r="CS49" s="1011"/>
    </row>
    <row r="50" spans="1:97">
      <c r="A50" s="1011"/>
      <c r="B50" s="1011"/>
      <c r="C50" s="1066"/>
      <c r="D50" s="1066"/>
      <c r="E50" s="1066"/>
      <c r="F50" s="1066"/>
      <c r="G50" s="1149"/>
      <c r="H50" s="1066"/>
      <c r="I50" s="1066"/>
      <c r="J50" s="1066"/>
      <c r="K50" s="1149"/>
      <c r="L50" s="1066"/>
      <c r="M50" s="1066"/>
      <c r="N50" s="1066"/>
      <c r="O50" s="1066"/>
      <c r="P50" s="1066"/>
      <c r="Q50" s="1149"/>
      <c r="R50" s="1066"/>
      <c r="S50" s="1066"/>
      <c r="T50" s="1066"/>
      <c r="U50" s="1149"/>
      <c r="V50" s="1066"/>
      <c r="W50" s="1066"/>
      <c r="X50" s="1066"/>
      <c r="Y50" s="1149"/>
      <c r="Z50" s="1149"/>
      <c r="AA50" s="1066"/>
      <c r="AB50" s="1066"/>
      <c r="AC50" s="1066"/>
      <c r="AD50" s="1066"/>
      <c r="AE50" s="1149"/>
      <c r="AF50" s="1066"/>
      <c r="AG50" s="1066"/>
      <c r="AH50" s="1066"/>
      <c r="AI50" s="1149"/>
      <c r="AJ50" s="1149"/>
      <c r="AK50" s="1149"/>
      <c r="AL50" s="1150"/>
      <c r="AM50" s="1151"/>
      <c r="AN50" s="1011"/>
      <c r="AO50" s="1011"/>
      <c r="AP50" s="1011"/>
      <c r="AQ50" s="1011"/>
      <c r="AR50" s="1011"/>
      <c r="AS50" s="1011"/>
      <c r="AT50" s="1011"/>
      <c r="AU50" s="1011"/>
      <c r="AV50" s="1011"/>
      <c r="AW50" s="1011"/>
      <c r="AX50" s="1011"/>
      <c r="AY50" s="1011"/>
      <c r="AZ50" s="1011"/>
      <c r="BA50" s="1011"/>
      <c r="BB50" s="1011"/>
      <c r="BC50" s="1011"/>
      <c r="BD50" s="1011"/>
      <c r="BE50" s="1011"/>
      <c r="BF50" s="1011"/>
      <c r="BG50" s="1011"/>
      <c r="BH50" s="1011"/>
      <c r="BI50" s="1011"/>
      <c r="BJ50" s="1011"/>
      <c r="BK50" s="1011"/>
      <c r="BL50" s="1011"/>
      <c r="BM50" s="1011"/>
      <c r="BN50" s="1011"/>
      <c r="BO50" s="1011"/>
      <c r="BP50" s="1011"/>
      <c r="BQ50" s="1011"/>
      <c r="BR50" s="1011"/>
      <c r="BS50" s="1011"/>
      <c r="BT50" s="1011"/>
      <c r="BU50" s="1011"/>
      <c r="BV50" s="1011"/>
      <c r="BW50" s="1011"/>
      <c r="BX50" s="1011"/>
      <c r="BY50" s="1011"/>
      <c r="BZ50" s="1011"/>
      <c r="CA50" s="1011"/>
      <c r="CB50" s="1011"/>
      <c r="CC50" s="1011"/>
      <c r="CD50" s="1011"/>
      <c r="CE50" s="1011"/>
      <c r="CF50" s="1011"/>
      <c r="CG50" s="1011"/>
      <c r="CH50" s="1011"/>
      <c r="CI50" s="1011"/>
      <c r="CJ50" s="1011"/>
      <c r="CK50" s="1011"/>
      <c r="CL50" s="1011"/>
      <c r="CM50" s="1011"/>
      <c r="CN50" s="1011"/>
      <c r="CO50" s="1011"/>
      <c r="CP50" s="1011"/>
      <c r="CQ50" s="1011"/>
      <c r="CR50" s="1011"/>
      <c r="CS50" s="1011"/>
    </row>
    <row r="52" spans="1:97">
      <c r="A52" s="1011"/>
      <c r="B52" s="1011"/>
      <c r="K52" s="1149"/>
      <c r="AK52" s="1149">
        <f>1244424947-AK48</f>
        <v>0.44672989845275879</v>
      </c>
      <c r="AN52" s="1011"/>
      <c r="AO52" s="1011"/>
      <c r="AP52" s="1011"/>
      <c r="AQ52" s="1011"/>
      <c r="AR52" s="1011"/>
      <c r="AS52" s="1011"/>
      <c r="AT52" s="1011"/>
      <c r="AU52" s="1011"/>
      <c r="AV52" s="1011"/>
      <c r="AW52" s="1011"/>
      <c r="AX52" s="1011"/>
      <c r="AY52" s="1011"/>
      <c r="AZ52" s="1011"/>
      <c r="BA52" s="1011"/>
      <c r="BB52" s="1011"/>
      <c r="BC52" s="1011"/>
      <c r="BD52" s="1011"/>
      <c r="BE52" s="1011"/>
      <c r="BF52" s="1011"/>
      <c r="BG52" s="1011"/>
      <c r="BH52" s="1011"/>
      <c r="BI52" s="1011"/>
      <c r="BJ52" s="1011"/>
      <c r="BK52" s="1011"/>
      <c r="BL52" s="1011"/>
      <c r="BM52" s="1011"/>
      <c r="BN52" s="1011"/>
      <c r="BO52" s="1011"/>
      <c r="BP52" s="1011"/>
      <c r="BQ52" s="1011"/>
      <c r="BR52" s="1011"/>
      <c r="BS52" s="1011"/>
      <c r="BT52" s="1011"/>
      <c r="BU52" s="1011"/>
      <c r="BV52" s="1011"/>
      <c r="BW52" s="1011"/>
      <c r="BX52" s="1011"/>
      <c r="BY52" s="1011"/>
      <c r="BZ52" s="1011"/>
      <c r="CA52" s="1011"/>
      <c r="CB52" s="1011"/>
      <c r="CC52" s="1011"/>
      <c r="CD52" s="1011"/>
      <c r="CE52" s="1011"/>
      <c r="CF52" s="1011"/>
      <c r="CG52" s="1011"/>
      <c r="CH52" s="1011"/>
      <c r="CI52" s="1011"/>
      <c r="CJ52" s="1011"/>
      <c r="CK52" s="1011"/>
      <c r="CL52" s="1011"/>
      <c r="CM52" s="1011"/>
      <c r="CN52" s="1011"/>
      <c r="CO52" s="1011"/>
      <c r="CP52" s="1011"/>
      <c r="CQ52" s="1011"/>
      <c r="CR52" s="1011"/>
      <c r="CS52" s="1011"/>
    </row>
    <row r="53" spans="1:97">
      <c r="A53" s="1011"/>
      <c r="B53" s="1011"/>
      <c r="K53" s="1149"/>
      <c r="AN53" s="1011"/>
      <c r="AO53" s="1011"/>
      <c r="AP53" s="1011"/>
      <c r="AQ53" s="1011"/>
      <c r="AR53" s="1011"/>
      <c r="AS53" s="1011"/>
      <c r="AT53" s="1011"/>
      <c r="AU53" s="1011"/>
      <c r="AV53" s="1011"/>
      <c r="AW53" s="1011"/>
      <c r="AX53" s="1011"/>
      <c r="AY53" s="1011"/>
      <c r="AZ53" s="1011"/>
      <c r="BA53" s="1011"/>
      <c r="BB53" s="1011"/>
      <c r="BC53" s="1011"/>
      <c r="BD53" s="1011"/>
      <c r="BE53" s="1011"/>
      <c r="BF53" s="1011"/>
      <c r="BG53" s="1011"/>
      <c r="BH53" s="1011"/>
      <c r="BI53" s="1011"/>
      <c r="BJ53" s="1011"/>
      <c r="BK53" s="1011"/>
      <c r="BL53" s="1011"/>
      <c r="BM53" s="1011"/>
      <c r="BN53" s="1011"/>
      <c r="BO53" s="1011"/>
      <c r="BP53" s="1011"/>
      <c r="BQ53" s="1011"/>
      <c r="BR53" s="1011"/>
      <c r="BS53" s="1011"/>
      <c r="BT53" s="1011"/>
      <c r="BU53" s="1011"/>
      <c r="BV53" s="1011"/>
      <c r="BW53" s="1011"/>
      <c r="BX53" s="1011"/>
      <c r="BY53" s="1011"/>
      <c r="BZ53" s="1011"/>
      <c r="CA53" s="1011"/>
      <c r="CB53" s="1011"/>
      <c r="CC53" s="1011"/>
      <c r="CD53" s="1011"/>
      <c r="CE53" s="1011"/>
      <c r="CF53" s="1011"/>
      <c r="CG53" s="1011"/>
      <c r="CH53" s="1011"/>
      <c r="CI53" s="1011"/>
      <c r="CJ53" s="1011"/>
      <c r="CK53" s="1011"/>
      <c r="CL53" s="1011"/>
      <c r="CM53" s="1011"/>
      <c r="CN53" s="1011"/>
      <c r="CO53" s="1011"/>
      <c r="CP53" s="1011"/>
      <c r="CQ53" s="1011"/>
      <c r="CR53" s="1011"/>
      <c r="CS53" s="1011"/>
    </row>
  </sheetData>
  <mergeCells count="2">
    <mergeCell ref="AK1:AK2"/>
    <mergeCell ref="A48:B4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5"/>
  <sheetViews>
    <sheetView zoomScaleNormal="85" workbookViewId="0">
      <pane xSplit="1" ySplit="2" topLeftCell="C8" activePane="bottomRight" state="frozen"/>
      <selection pane="topRight" activeCell="B1" sqref="B1"/>
      <selection pane="bottomLeft" activeCell="A3" sqref="A3"/>
      <selection pane="bottomRight" activeCell="I11" sqref="I11"/>
    </sheetView>
  </sheetViews>
  <sheetFormatPr defaultRowHeight="12.75"/>
  <cols>
    <col min="1" max="1" width="37.85546875" style="948" customWidth="1"/>
    <col min="2" max="3" width="13.28515625" style="948" customWidth="1"/>
    <col min="4" max="4" width="12.42578125" style="948" customWidth="1"/>
    <col min="5" max="6" width="9.140625" style="948"/>
    <col min="7" max="7" width="12.7109375" style="948" customWidth="1"/>
    <col min="8" max="9" width="13" style="948" customWidth="1"/>
    <col min="10" max="10" width="16.42578125" style="948" customWidth="1"/>
    <col min="11" max="11" width="13" style="948" customWidth="1"/>
    <col min="12" max="14" width="9.140625" style="948"/>
    <col min="15" max="15" width="11.140625" style="948" customWidth="1"/>
    <col min="16" max="17" width="10.42578125" style="948" customWidth="1"/>
    <col min="18" max="20" width="10.140625" style="948" customWidth="1"/>
    <col min="21" max="29" width="10" style="948" customWidth="1"/>
    <col min="30" max="253" width="9.140625" style="948"/>
    <col min="254" max="254" width="37.85546875" style="948" customWidth="1"/>
    <col min="255" max="255" width="14.7109375" style="948" customWidth="1"/>
    <col min="256" max="256" width="16.42578125" style="948" customWidth="1"/>
    <col min="257" max="257" width="11.85546875" style="948" customWidth="1"/>
    <col min="258" max="258" width="10.85546875" style="948" customWidth="1"/>
    <col min="259" max="259" width="12.42578125" style="948" customWidth="1"/>
    <col min="260" max="260" width="33.140625" style="948" customWidth="1"/>
    <col min="261" max="509" width="9.140625" style="948"/>
    <col min="510" max="510" width="37.85546875" style="948" customWidth="1"/>
    <col min="511" max="511" width="14.7109375" style="948" customWidth="1"/>
    <col min="512" max="512" width="16.42578125" style="948" customWidth="1"/>
    <col min="513" max="513" width="11.85546875" style="948" customWidth="1"/>
    <col min="514" max="514" width="10.85546875" style="948" customWidth="1"/>
    <col min="515" max="515" width="12.42578125" style="948" customWidth="1"/>
    <col min="516" max="516" width="33.140625" style="948" customWidth="1"/>
    <col min="517" max="765" width="9.140625" style="948"/>
    <col min="766" max="766" width="37.85546875" style="948" customWidth="1"/>
    <col min="767" max="767" width="14.7109375" style="948" customWidth="1"/>
    <col min="768" max="768" width="16.42578125" style="948" customWidth="1"/>
    <col min="769" max="769" width="11.85546875" style="948" customWidth="1"/>
    <col min="770" max="770" width="10.85546875" style="948" customWidth="1"/>
    <col min="771" max="771" width="12.42578125" style="948" customWidth="1"/>
    <col min="772" max="772" width="33.140625" style="948" customWidth="1"/>
    <col min="773" max="1021" width="9.140625" style="948"/>
    <col min="1022" max="1022" width="37.85546875" style="948" customWidth="1"/>
    <col min="1023" max="1023" width="14.7109375" style="948" customWidth="1"/>
    <col min="1024" max="1024" width="16.42578125" style="948" customWidth="1"/>
    <col min="1025" max="1025" width="11.85546875" style="948" customWidth="1"/>
    <col min="1026" max="1026" width="10.85546875" style="948" customWidth="1"/>
    <col min="1027" max="1027" width="12.42578125" style="948" customWidth="1"/>
    <col min="1028" max="1028" width="33.140625" style="948" customWidth="1"/>
    <col min="1029" max="1277" width="9.140625" style="948"/>
    <col min="1278" max="1278" width="37.85546875" style="948" customWidth="1"/>
    <col min="1279" max="1279" width="14.7109375" style="948" customWidth="1"/>
    <col min="1280" max="1280" width="16.42578125" style="948" customWidth="1"/>
    <col min="1281" max="1281" width="11.85546875" style="948" customWidth="1"/>
    <col min="1282" max="1282" width="10.85546875" style="948" customWidth="1"/>
    <col min="1283" max="1283" width="12.42578125" style="948" customWidth="1"/>
    <col min="1284" max="1284" width="33.140625" style="948" customWidth="1"/>
    <col min="1285" max="1533" width="9.140625" style="948"/>
    <col min="1534" max="1534" width="37.85546875" style="948" customWidth="1"/>
    <col min="1535" max="1535" width="14.7109375" style="948" customWidth="1"/>
    <col min="1536" max="1536" width="16.42578125" style="948" customWidth="1"/>
    <col min="1537" max="1537" width="11.85546875" style="948" customWidth="1"/>
    <col min="1538" max="1538" width="10.85546875" style="948" customWidth="1"/>
    <col min="1539" max="1539" width="12.42578125" style="948" customWidth="1"/>
    <col min="1540" max="1540" width="33.140625" style="948" customWidth="1"/>
    <col min="1541" max="1789" width="9.140625" style="948"/>
    <col min="1790" max="1790" width="37.85546875" style="948" customWidth="1"/>
    <col min="1791" max="1791" width="14.7109375" style="948" customWidth="1"/>
    <col min="1792" max="1792" width="16.42578125" style="948" customWidth="1"/>
    <col min="1793" max="1793" width="11.85546875" style="948" customWidth="1"/>
    <col min="1794" max="1794" width="10.85546875" style="948" customWidth="1"/>
    <col min="1795" max="1795" width="12.42578125" style="948" customWidth="1"/>
    <col min="1796" max="1796" width="33.140625" style="948" customWidth="1"/>
    <col min="1797" max="2045" width="9.140625" style="948"/>
    <col min="2046" max="2046" width="37.85546875" style="948" customWidth="1"/>
    <col min="2047" max="2047" width="14.7109375" style="948" customWidth="1"/>
    <col min="2048" max="2048" width="16.42578125" style="948" customWidth="1"/>
    <col min="2049" max="2049" width="11.85546875" style="948" customWidth="1"/>
    <col min="2050" max="2050" width="10.85546875" style="948" customWidth="1"/>
    <col min="2051" max="2051" width="12.42578125" style="948" customWidth="1"/>
    <col min="2052" max="2052" width="33.140625" style="948" customWidth="1"/>
    <col min="2053" max="2301" width="9.140625" style="948"/>
    <col min="2302" max="2302" width="37.85546875" style="948" customWidth="1"/>
    <col min="2303" max="2303" width="14.7109375" style="948" customWidth="1"/>
    <col min="2304" max="2304" width="16.42578125" style="948" customWidth="1"/>
    <col min="2305" max="2305" width="11.85546875" style="948" customWidth="1"/>
    <col min="2306" max="2306" width="10.85546875" style="948" customWidth="1"/>
    <col min="2307" max="2307" width="12.42578125" style="948" customWidth="1"/>
    <col min="2308" max="2308" width="33.140625" style="948" customWidth="1"/>
    <col min="2309" max="2557" width="9.140625" style="948"/>
    <col min="2558" max="2558" width="37.85546875" style="948" customWidth="1"/>
    <col min="2559" max="2559" width="14.7109375" style="948" customWidth="1"/>
    <col min="2560" max="2560" width="16.42578125" style="948" customWidth="1"/>
    <col min="2561" max="2561" width="11.85546875" style="948" customWidth="1"/>
    <col min="2562" max="2562" width="10.85546875" style="948" customWidth="1"/>
    <col min="2563" max="2563" width="12.42578125" style="948" customWidth="1"/>
    <col min="2564" max="2564" width="33.140625" style="948" customWidth="1"/>
    <col min="2565" max="2813" width="9.140625" style="948"/>
    <col min="2814" max="2814" width="37.85546875" style="948" customWidth="1"/>
    <col min="2815" max="2815" width="14.7109375" style="948" customWidth="1"/>
    <col min="2816" max="2816" width="16.42578125" style="948" customWidth="1"/>
    <col min="2817" max="2817" width="11.85546875" style="948" customWidth="1"/>
    <col min="2818" max="2818" width="10.85546875" style="948" customWidth="1"/>
    <col min="2819" max="2819" width="12.42578125" style="948" customWidth="1"/>
    <col min="2820" max="2820" width="33.140625" style="948" customWidth="1"/>
    <col min="2821" max="3069" width="9.140625" style="948"/>
    <col min="3070" max="3070" width="37.85546875" style="948" customWidth="1"/>
    <col min="3071" max="3071" width="14.7109375" style="948" customWidth="1"/>
    <col min="3072" max="3072" width="16.42578125" style="948" customWidth="1"/>
    <col min="3073" max="3073" width="11.85546875" style="948" customWidth="1"/>
    <col min="3074" max="3074" width="10.85546875" style="948" customWidth="1"/>
    <col min="3075" max="3075" width="12.42578125" style="948" customWidth="1"/>
    <col min="3076" max="3076" width="33.140625" style="948" customWidth="1"/>
    <col min="3077" max="3325" width="9.140625" style="948"/>
    <col min="3326" max="3326" width="37.85546875" style="948" customWidth="1"/>
    <col min="3327" max="3327" width="14.7109375" style="948" customWidth="1"/>
    <col min="3328" max="3328" width="16.42578125" style="948" customWidth="1"/>
    <col min="3329" max="3329" width="11.85546875" style="948" customWidth="1"/>
    <col min="3330" max="3330" width="10.85546875" style="948" customWidth="1"/>
    <col min="3331" max="3331" width="12.42578125" style="948" customWidth="1"/>
    <col min="3332" max="3332" width="33.140625" style="948" customWidth="1"/>
    <col min="3333" max="3581" width="9.140625" style="948"/>
    <col min="3582" max="3582" width="37.85546875" style="948" customWidth="1"/>
    <col min="3583" max="3583" width="14.7109375" style="948" customWidth="1"/>
    <col min="3584" max="3584" width="16.42578125" style="948" customWidth="1"/>
    <col min="3585" max="3585" width="11.85546875" style="948" customWidth="1"/>
    <col min="3586" max="3586" width="10.85546875" style="948" customWidth="1"/>
    <col min="3587" max="3587" width="12.42578125" style="948" customWidth="1"/>
    <col min="3588" max="3588" width="33.140625" style="948" customWidth="1"/>
    <col min="3589" max="3837" width="9.140625" style="948"/>
    <col min="3838" max="3838" width="37.85546875" style="948" customWidth="1"/>
    <col min="3839" max="3839" width="14.7109375" style="948" customWidth="1"/>
    <col min="3840" max="3840" width="16.42578125" style="948" customWidth="1"/>
    <col min="3841" max="3841" width="11.85546875" style="948" customWidth="1"/>
    <col min="3842" max="3842" width="10.85546875" style="948" customWidth="1"/>
    <col min="3843" max="3843" width="12.42578125" style="948" customWidth="1"/>
    <col min="3844" max="3844" width="33.140625" style="948" customWidth="1"/>
    <col min="3845" max="4093" width="9.140625" style="948"/>
    <col min="4094" max="4094" width="37.85546875" style="948" customWidth="1"/>
    <col min="4095" max="4095" width="14.7109375" style="948" customWidth="1"/>
    <col min="4096" max="4096" width="16.42578125" style="948" customWidth="1"/>
    <col min="4097" max="4097" width="11.85546875" style="948" customWidth="1"/>
    <col min="4098" max="4098" width="10.85546875" style="948" customWidth="1"/>
    <col min="4099" max="4099" width="12.42578125" style="948" customWidth="1"/>
    <col min="4100" max="4100" width="33.140625" style="948" customWidth="1"/>
    <col min="4101" max="4349" width="9.140625" style="948"/>
    <col min="4350" max="4350" width="37.85546875" style="948" customWidth="1"/>
    <col min="4351" max="4351" width="14.7109375" style="948" customWidth="1"/>
    <col min="4352" max="4352" width="16.42578125" style="948" customWidth="1"/>
    <col min="4353" max="4353" width="11.85546875" style="948" customWidth="1"/>
    <col min="4354" max="4354" width="10.85546875" style="948" customWidth="1"/>
    <col min="4355" max="4355" width="12.42578125" style="948" customWidth="1"/>
    <col min="4356" max="4356" width="33.140625" style="948" customWidth="1"/>
    <col min="4357" max="4605" width="9.140625" style="948"/>
    <col min="4606" max="4606" width="37.85546875" style="948" customWidth="1"/>
    <col min="4607" max="4607" width="14.7109375" style="948" customWidth="1"/>
    <col min="4608" max="4608" width="16.42578125" style="948" customWidth="1"/>
    <col min="4609" max="4609" width="11.85546875" style="948" customWidth="1"/>
    <col min="4610" max="4610" width="10.85546875" style="948" customWidth="1"/>
    <col min="4611" max="4611" width="12.42578125" style="948" customWidth="1"/>
    <col min="4612" max="4612" width="33.140625" style="948" customWidth="1"/>
    <col min="4613" max="4861" width="9.140625" style="948"/>
    <col min="4862" max="4862" width="37.85546875" style="948" customWidth="1"/>
    <col min="4863" max="4863" width="14.7109375" style="948" customWidth="1"/>
    <col min="4864" max="4864" width="16.42578125" style="948" customWidth="1"/>
    <col min="4865" max="4865" width="11.85546875" style="948" customWidth="1"/>
    <col min="4866" max="4866" width="10.85546875" style="948" customWidth="1"/>
    <col min="4867" max="4867" width="12.42578125" style="948" customWidth="1"/>
    <col min="4868" max="4868" width="33.140625" style="948" customWidth="1"/>
    <col min="4869" max="5117" width="9.140625" style="948"/>
    <col min="5118" max="5118" width="37.85546875" style="948" customWidth="1"/>
    <col min="5119" max="5119" width="14.7109375" style="948" customWidth="1"/>
    <col min="5120" max="5120" width="16.42578125" style="948" customWidth="1"/>
    <col min="5121" max="5121" width="11.85546875" style="948" customWidth="1"/>
    <col min="5122" max="5122" width="10.85546875" style="948" customWidth="1"/>
    <col min="5123" max="5123" width="12.42578125" style="948" customWidth="1"/>
    <col min="5124" max="5124" width="33.140625" style="948" customWidth="1"/>
    <col min="5125" max="5373" width="9.140625" style="948"/>
    <col min="5374" max="5374" width="37.85546875" style="948" customWidth="1"/>
    <col min="5375" max="5375" width="14.7109375" style="948" customWidth="1"/>
    <col min="5376" max="5376" width="16.42578125" style="948" customWidth="1"/>
    <col min="5377" max="5377" width="11.85546875" style="948" customWidth="1"/>
    <col min="5378" max="5378" width="10.85546875" style="948" customWidth="1"/>
    <col min="5379" max="5379" width="12.42578125" style="948" customWidth="1"/>
    <col min="5380" max="5380" width="33.140625" style="948" customWidth="1"/>
    <col min="5381" max="5629" width="9.140625" style="948"/>
    <col min="5630" max="5630" width="37.85546875" style="948" customWidth="1"/>
    <col min="5631" max="5631" width="14.7109375" style="948" customWidth="1"/>
    <col min="5632" max="5632" width="16.42578125" style="948" customWidth="1"/>
    <col min="5633" max="5633" width="11.85546875" style="948" customWidth="1"/>
    <col min="5634" max="5634" width="10.85546875" style="948" customWidth="1"/>
    <col min="5635" max="5635" width="12.42578125" style="948" customWidth="1"/>
    <col min="5636" max="5636" width="33.140625" style="948" customWidth="1"/>
    <col min="5637" max="5885" width="9.140625" style="948"/>
    <col min="5886" max="5886" width="37.85546875" style="948" customWidth="1"/>
    <col min="5887" max="5887" width="14.7109375" style="948" customWidth="1"/>
    <col min="5888" max="5888" width="16.42578125" style="948" customWidth="1"/>
    <col min="5889" max="5889" width="11.85546875" style="948" customWidth="1"/>
    <col min="5890" max="5890" width="10.85546875" style="948" customWidth="1"/>
    <col min="5891" max="5891" width="12.42578125" style="948" customWidth="1"/>
    <col min="5892" max="5892" width="33.140625" style="948" customWidth="1"/>
    <col min="5893" max="6141" width="9.140625" style="948"/>
    <col min="6142" max="6142" width="37.85546875" style="948" customWidth="1"/>
    <col min="6143" max="6143" width="14.7109375" style="948" customWidth="1"/>
    <col min="6144" max="6144" width="16.42578125" style="948" customWidth="1"/>
    <col min="6145" max="6145" width="11.85546875" style="948" customWidth="1"/>
    <col min="6146" max="6146" width="10.85546875" style="948" customWidth="1"/>
    <col min="6147" max="6147" width="12.42578125" style="948" customWidth="1"/>
    <col min="6148" max="6148" width="33.140625" style="948" customWidth="1"/>
    <col min="6149" max="6397" width="9.140625" style="948"/>
    <col min="6398" max="6398" width="37.85546875" style="948" customWidth="1"/>
    <col min="6399" max="6399" width="14.7109375" style="948" customWidth="1"/>
    <col min="6400" max="6400" width="16.42578125" style="948" customWidth="1"/>
    <col min="6401" max="6401" width="11.85546875" style="948" customWidth="1"/>
    <col min="6402" max="6402" width="10.85546875" style="948" customWidth="1"/>
    <col min="6403" max="6403" width="12.42578125" style="948" customWidth="1"/>
    <col min="6404" max="6404" width="33.140625" style="948" customWidth="1"/>
    <col min="6405" max="6653" width="9.140625" style="948"/>
    <col min="6654" max="6654" width="37.85546875" style="948" customWidth="1"/>
    <col min="6655" max="6655" width="14.7109375" style="948" customWidth="1"/>
    <col min="6656" max="6656" width="16.42578125" style="948" customWidth="1"/>
    <col min="6657" max="6657" width="11.85546875" style="948" customWidth="1"/>
    <col min="6658" max="6658" width="10.85546875" style="948" customWidth="1"/>
    <col min="6659" max="6659" width="12.42578125" style="948" customWidth="1"/>
    <col min="6660" max="6660" width="33.140625" style="948" customWidth="1"/>
    <col min="6661" max="6909" width="9.140625" style="948"/>
    <col min="6910" max="6910" width="37.85546875" style="948" customWidth="1"/>
    <col min="6911" max="6911" width="14.7109375" style="948" customWidth="1"/>
    <col min="6912" max="6912" width="16.42578125" style="948" customWidth="1"/>
    <col min="6913" max="6913" width="11.85546875" style="948" customWidth="1"/>
    <col min="6914" max="6914" width="10.85546875" style="948" customWidth="1"/>
    <col min="6915" max="6915" width="12.42578125" style="948" customWidth="1"/>
    <col min="6916" max="6916" width="33.140625" style="948" customWidth="1"/>
    <col min="6917" max="7165" width="9.140625" style="948"/>
    <col min="7166" max="7166" width="37.85546875" style="948" customWidth="1"/>
    <col min="7167" max="7167" width="14.7109375" style="948" customWidth="1"/>
    <col min="7168" max="7168" width="16.42578125" style="948" customWidth="1"/>
    <col min="7169" max="7169" width="11.85546875" style="948" customWidth="1"/>
    <col min="7170" max="7170" width="10.85546875" style="948" customWidth="1"/>
    <col min="7171" max="7171" width="12.42578125" style="948" customWidth="1"/>
    <col min="7172" max="7172" width="33.140625" style="948" customWidth="1"/>
    <col min="7173" max="7421" width="9.140625" style="948"/>
    <col min="7422" max="7422" width="37.85546875" style="948" customWidth="1"/>
    <col min="7423" max="7423" width="14.7109375" style="948" customWidth="1"/>
    <col min="7424" max="7424" width="16.42578125" style="948" customWidth="1"/>
    <col min="7425" max="7425" width="11.85546875" style="948" customWidth="1"/>
    <col min="7426" max="7426" width="10.85546875" style="948" customWidth="1"/>
    <col min="7427" max="7427" width="12.42578125" style="948" customWidth="1"/>
    <col min="7428" max="7428" width="33.140625" style="948" customWidth="1"/>
    <col min="7429" max="7677" width="9.140625" style="948"/>
    <col min="7678" max="7678" width="37.85546875" style="948" customWidth="1"/>
    <col min="7679" max="7679" width="14.7109375" style="948" customWidth="1"/>
    <col min="7680" max="7680" width="16.42578125" style="948" customWidth="1"/>
    <col min="7681" max="7681" width="11.85546875" style="948" customWidth="1"/>
    <col min="7682" max="7682" width="10.85546875" style="948" customWidth="1"/>
    <col min="7683" max="7683" width="12.42578125" style="948" customWidth="1"/>
    <col min="7684" max="7684" width="33.140625" style="948" customWidth="1"/>
    <col min="7685" max="7933" width="9.140625" style="948"/>
    <col min="7934" max="7934" width="37.85546875" style="948" customWidth="1"/>
    <col min="7935" max="7935" width="14.7109375" style="948" customWidth="1"/>
    <col min="7936" max="7936" width="16.42578125" style="948" customWidth="1"/>
    <col min="7937" max="7937" width="11.85546875" style="948" customWidth="1"/>
    <col min="7938" max="7938" width="10.85546875" style="948" customWidth="1"/>
    <col min="7939" max="7939" width="12.42578125" style="948" customWidth="1"/>
    <col min="7940" max="7940" width="33.140625" style="948" customWidth="1"/>
    <col min="7941" max="8189" width="9.140625" style="948"/>
    <col min="8190" max="8190" width="37.85546875" style="948" customWidth="1"/>
    <col min="8191" max="8191" width="14.7109375" style="948" customWidth="1"/>
    <col min="8192" max="8192" width="16.42578125" style="948" customWidth="1"/>
    <col min="8193" max="8193" width="11.85546875" style="948" customWidth="1"/>
    <col min="8194" max="8194" width="10.85546875" style="948" customWidth="1"/>
    <col min="8195" max="8195" width="12.42578125" style="948" customWidth="1"/>
    <col min="8196" max="8196" width="33.140625" style="948" customWidth="1"/>
    <col min="8197" max="8445" width="9.140625" style="948"/>
    <col min="8446" max="8446" width="37.85546875" style="948" customWidth="1"/>
    <col min="8447" max="8447" width="14.7109375" style="948" customWidth="1"/>
    <col min="8448" max="8448" width="16.42578125" style="948" customWidth="1"/>
    <col min="8449" max="8449" width="11.85546875" style="948" customWidth="1"/>
    <col min="8450" max="8450" width="10.85546875" style="948" customWidth="1"/>
    <col min="8451" max="8451" width="12.42578125" style="948" customWidth="1"/>
    <col min="8452" max="8452" width="33.140625" style="948" customWidth="1"/>
    <col min="8453" max="8701" width="9.140625" style="948"/>
    <col min="8702" max="8702" width="37.85546875" style="948" customWidth="1"/>
    <col min="8703" max="8703" width="14.7109375" style="948" customWidth="1"/>
    <col min="8704" max="8704" width="16.42578125" style="948" customWidth="1"/>
    <col min="8705" max="8705" width="11.85546875" style="948" customWidth="1"/>
    <col min="8706" max="8706" width="10.85546875" style="948" customWidth="1"/>
    <col min="8707" max="8707" width="12.42578125" style="948" customWidth="1"/>
    <col min="8708" max="8708" width="33.140625" style="948" customWidth="1"/>
    <col min="8709" max="8957" width="9.140625" style="948"/>
    <col min="8958" max="8958" width="37.85546875" style="948" customWidth="1"/>
    <col min="8959" max="8959" width="14.7109375" style="948" customWidth="1"/>
    <col min="8960" max="8960" width="16.42578125" style="948" customWidth="1"/>
    <col min="8961" max="8961" width="11.85546875" style="948" customWidth="1"/>
    <col min="8962" max="8962" width="10.85546875" style="948" customWidth="1"/>
    <col min="8963" max="8963" width="12.42578125" style="948" customWidth="1"/>
    <col min="8964" max="8964" width="33.140625" style="948" customWidth="1"/>
    <col min="8965" max="9213" width="9.140625" style="948"/>
    <col min="9214" max="9214" width="37.85546875" style="948" customWidth="1"/>
    <col min="9215" max="9215" width="14.7109375" style="948" customWidth="1"/>
    <col min="9216" max="9216" width="16.42578125" style="948" customWidth="1"/>
    <col min="9217" max="9217" width="11.85546875" style="948" customWidth="1"/>
    <col min="9218" max="9218" width="10.85546875" style="948" customWidth="1"/>
    <col min="9219" max="9219" width="12.42578125" style="948" customWidth="1"/>
    <col min="9220" max="9220" width="33.140625" style="948" customWidth="1"/>
    <col min="9221" max="9469" width="9.140625" style="948"/>
    <col min="9470" max="9470" width="37.85546875" style="948" customWidth="1"/>
    <col min="9471" max="9471" width="14.7109375" style="948" customWidth="1"/>
    <col min="9472" max="9472" width="16.42578125" style="948" customWidth="1"/>
    <col min="9473" max="9473" width="11.85546875" style="948" customWidth="1"/>
    <col min="9474" max="9474" width="10.85546875" style="948" customWidth="1"/>
    <col min="9475" max="9475" width="12.42578125" style="948" customWidth="1"/>
    <col min="9476" max="9476" width="33.140625" style="948" customWidth="1"/>
    <col min="9477" max="9725" width="9.140625" style="948"/>
    <col min="9726" max="9726" width="37.85546875" style="948" customWidth="1"/>
    <col min="9727" max="9727" width="14.7109375" style="948" customWidth="1"/>
    <col min="9728" max="9728" width="16.42578125" style="948" customWidth="1"/>
    <col min="9729" max="9729" width="11.85546875" style="948" customWidth="1"/>
    <col min="9730" max="9730" width="10.85546875" style="948" customWidth="1"/>
    <col min="9731" max="9731" width="12.42578125" style="948" customWidth="1"/>
    <col min="9732" max="9732" width="33.140625" style="948" customWidth="1"/>
    <col min="9733" max="9981" width="9.140625" style="948"/>
    <col min="9982" max="9982" width="37.85546875" style="948" customWidth="1"/>
    <col min="9983" max="9983" width="14.7109375" style="948" customWidth="1"/>
    <col min="9984" max="9984" width="16.42578125" style="948" customWidth="1"/>
    <col min="9985" max="9985" width="11.85546875" style="948" customWidth="1"/>
    <col min="9986" max="9986" width="10.85546875" style="948" customWidth="1"/>
    <col min="9987" max="9987" width="12.42578125" style="948" customWidth="1"/>
    <col min="9988" max="9988" width="33.140625" style="948" customWidth="1"/>
    <col min="9989" max="10237" width="9.140625" style="948"/>
    <col min="10238" max="10238" width="37.85546875" style="948" customWidth="1"/>
    <col min="10239" max="10239" width="14.7109375" style="948" customWidth="1"/>
    <col min="10240" max="10240" width="16.42578125" style="948" customWidth="1"/>
    <col min="10241" max="10241" width="11.85546875" style="948" customWidth="1"/>
    <col min="10242" max="10242" width="10.85546875" style="948" customWidth="1"/>
    <col min="10243" max="10243" width="12.42578125" style="948" customWidth="1"/>
    <col min="10244" max="10244" width="33.140625" style="948" customWidth="1"/>
    <col min="10245" max="10493" width="9.140625" style="948"/>
    <col min="10494" max="10494" width="37.85546875" style="948" customWidth="1"/>
    <col min="10495" max="10495" width="14.7109375" style="948" customWidth="1"/>
    <col min="10496" max="10496" width="16.42578125" style="948" customWidth="1"/>
    <col min="10497" max="10497" width="11.85546875" style="948" customWidth="1"/>
    <col min="10498" max="10498" width="10.85546875" style="948" customWidth="1"/>
    <col min="10499" max="10499" width="12.42578125" style="948" customWidth="1"/>
    <col min="10500" max="10500" width="33.140625" style="948" customWidth="1"/>
    <col min="10501" max="10749" width="9.140625" style="948"/>
    <col min="10750" max="10750" width="37.85546875" style="948" customWidth="1"/>
    <col min="10751" max="10751" width="14.7109375" style="948" customWidth="1"/>
    <col min="10752" max="10752" width="16.42578125" style="948" customWidth="1"/>
    <col min="10753" max="10753" width="11.85546875" style="948" customWidth="1"/>
    <col min="10754" max="10754" width="10.85546875" style="948" customWidth="1"/>
    <col min="10755" max="10755" width="12.42578125" style="948" customWidth="1"/>
    <col min="10756" max="10756" width="33.140625" style="948" customWidth="1"/>
    <col min="10757" max="11005" width="9.140625" style="948"/>
    <col min="11006" max="11006" width="37.85546875" style="948" customWidth="1"/>
    <col min="11007" max="11007" width="14.7109375" style="948" customWidth="1"/>
    <col min="11008" max="11008" width="16.42578125" style="948" customWidth="1"/>
    <col min="11009" max="11009" width="11.85546875" style="948" customWidth="1"/>
    <col min="11010" max="11010" width="10.85546875" style="948" customWidth="1"/>
    <col min="11011" max="11011" width="12.42578125" style="948" customWidth="1"/>
    <col min="11012" max="11012" width="33.140625" style="948" customWidth="1"/>
    <col min="11013" max="11261" width="9.140625" style="948"/>
    <col min="11262" max="11262" width="37.85546875" style="948" customWidth="1"/>
    <col min="11263" max="11263" width="14.7109375" style="948" customWidth="1"/>
    <col min="11264" max="11264" width="16.42578125" style="948" customWidth="1"/>
    <col min="11265" max="11265" width="11.85546875" style="948" customWidth="1"/>
    <col min="11266" max="11266" width="10.85546875" style="948" customWidth="1"/>
    <col min="11267" max="11267" width="12.42578125" style="948" customWidth="1"/>
    <col min="11268" max="11268" width="33.140625" style="948" customWidth="1"/>
    <col min="11269" max="11517" width="9.140625" style="948"/>
    <col min="11518" max="11518" width="37.85546875" style="948" customWidth="1"/>
    <col min="11519" max="11519" width="14.7109375" style="948" customWidth="1"/>
    <col min="11520" max="11520" width="16.42578125" style="948" customWidth="1"/>
    <col min="11521" max="11521" width="11.85546875" style="948" customWidth="1"/>
    <col min="11522" max="11522" width="10.85546875" style="948" customWidth="1"/>
    <col min="11523" max="11523" width="12.42578125" style="948" customWidth="1"/>
    <col min="11524" max="11524" width="33.140625" style="948" customWidth="1"/>
    <col min="11525" max="11773" width="9.140625" style="948"/>
    <col min="11774" max="11774" width="37.85546875" style="948" customWidth="1"/>
    <col min="11775" max="11775" width="14.7109375" style="948" customWidth="1"/>
    <col min="11776" max="11776" width="16.42578125" style="948" customWidth="1"/>
    <col min="11777" max="11777" width="11.85546875" style="948" customWidth="1"/>
    <col min="11778" max="11778" width="10.85546875" style="948" customWidth="1"/>
    <col min="11779" max="11779" width="12.42578125" style="948" customWidth="1"/>
    <col min="11780" max="11780" width="33.140625" style="948" customWidth="1"/>
    <col min="11781" max="12029" width="9.140625" style="948"/>
    <col min="12030" max="12030" width="37.85546875" style="948" customWidth="1"/>
    <col min="12031" max="12031" width="14.7109375" style="948" customWidth="1"/>
    <col min="12032" max="12032" width="16.42578125" style="948" customWidth="1"/>
    <col min="12033" max="12033" width="11.85546875" style="948" customWidth="1"/>
    <col min="12034" max="12034" width="10.85546875" style="948" customWidth="1"/>
    <col min="12035" max="12035" width="12.42578125" style="948" customWidth="1"/>
    <col min="12036" max="12036" width="33.140625" style="948" customWidth="1"/>
    <col min="12037" max="12285" width="9.140625" style="948"/>
    <col min="12286" max="12286" width="37.85546875" style="948" customWidth="1"/>
    <col min="12287" max="12287" width="14.7109375" style="948" customWidth="1"/>
    <col min="12288" max="12288" width="16.42578125" style="948" customWidth="1"/>
    <col min="12289" max="12289" width="11.85546875" style="948" customWidth="1"/>
    <col min="12290" max="12290" width="10.85546875" style="948" customWidth="1"/>
    <col min="12291" max="12291" width="12.42578125" style="948" customWidth="1"/>
    <col min="12292" max="12292" width="33.140625" style="948" customWidth="1"/>
    <col min="12293" max="12541" width="9.140625" style="948"/>
    <col min="12542" max="12542" width="37.85546875" style="948" customWidth="1"/>
    <col min="12543" max="12543" width="14.7109375" style="948" customWidth="1"/>
    <col min="12544" max="12544" width="16.42578125" style="948" customWidth="1"/>
    <col min="12545" max="12545" width="11.85546875" style="948" customWidth="1"/>
    <col min="12546" max="12546" width="10.85546875" style="948" customWidth="1"/>
    <col min="12547" max="12547" width="12.42578125" style="948" customWidth="1"/>
    <col min="12548" max="12548" width="33.140625" style="948" customWidth="1"/>
    <col min="12549" max="12797" width="9.140625" style="948"/>
    <col min="12798" max="12798" width="37.85546875" style="948" customWidth="1"/>
    <col min="12799" max="12799" width="14.7109375" style="948" customWidth="1"/>
    <col min="12800" max="12800" width="16.42578125" style="948" customWidth="1"/>
    <col min="12801" max="12801" width="11.85546875" style="948" customWidth="1"/>
    <col min="12802" max="12802" width="10.85546875" style="948" customWidth="1"/>
    <col min="12803" max="12803" width="12.42578125" style="948" customWidth="1"/>
    <col min="12804" max="12804" width="33.140625" style="948" customWidth="1"/>
    <col min="12805" max="13053" width="9.140625" style="948"/>
    <col min="13054" max="13054" width="37.85546875" style="948" customWidth="1"/>
    <col min="13055" max="13055" width="14.7109375" style="948" customWidth="1"/>
    <col min="13056" max="13056" width="16.42578125" style="948" customWidth="1"/>
    <col min="13057" max="13057" width="11.85546875" style="948" customWidth="1"/>
    <col min="13058" max="13058" width="10.85546875" style="948" customWidth="1"/>
    <col min="13059" max="13059" width="12.42578125" style="948" customWidth="1"/>
    <col min="13060" max="13060" width="33.140625" style="948" customWidth="1"/>
    <col min="13061" max="13309" width="9.140625" style="948"/>
    <col min="13310" max="13310" width="37.85546875" style="948" customWidth="1"/>
    <col min="13311" max="13311" width="14.7109375" style="948" customWidth="1"/>
    <col min="13312" max="13312" width="16.42578125" style="948" customWidth="1"/>
    <col min="13313" max="13313" width="11.85546875" style="948" customWidth="1"/>
    <col min="13314" max="13314" width="10.85546875" style="948" customWidth="1"/>
    <col min="13315" max="13315" width="12.42578125" style="948" customWidth="1"/>
    <col min="13316" max="13316" width="33.140625" style="948" customWidth="1"/>
    <col min="13317" max="13565" width="9.140625" style="948"/>
    <col min="13566" max="13566" width="37.85546875" style="948" customWidth="1"/>
    <col min="13567" max="13567" width="14.7109375" style="948" customWidth="1"/>
    <col min="13568" max="13568" width="16.42578125" style="948" customWidth="1"/>
    <col min="13569" max="13569" width="11.85546875" style="948" customWidth="1"/>
    <col min="13570" max="13570" width="10.85546875" style="948" customWidth="1"/>
    <col min="13571" max="13571" width="12.42578125" style="948" customWidth="1"/>
    <col min="13572" max="13572" width="33.140625" style="948" customWidth="1"/>
    <col min="13573" max="13821" width="9.140625" style="948"/>
    <col min="13822" max="13822" width="37.85546875" style="948" customWidth="1"/>
    <col min="13823" max="13823" width="14.7109375" style="948" customWidth="1"/>
    <col min="13824" max="13824" width="16.42578125" style="948" customWidth="1"/>
    <col min="13825" max="13825" width="11.85546875" style="948" customWidth="1"/>
    <col min="13826" max="13826" width="10.85546875" style="948" customWidth="1"/>
    <col min="13827" max="13827" width="12.42578125" style="948" customWidth="1"/>
    <col min="13828" max="13828" width="33.140625" style="948" customWidth="1"/>
    <col min="13829" max="14077" width="9.140625" style="948"/>
    <col min="14078" max="14078" width="37.85546875" style="948" customWidth="1"/>
    <col min="14079" max="14079" width="14.7109375" style="948" customWidth="1"/>
    <col min="14080" max="14080" width="16.42578125" style="948" customWidth="1"/>
    <col min="14081" max="14081" width="11.85546875" style="948" customWidth="1"/>
    <col min="14082" max="14082" width="10.85546875" style="948" customWidth="1"/>
    <col min="14083" max="14083" width="12.42578125" style="948" customWidth="1"/>
    <col min="14084" max="14084" width="33.140625" style="948" customWidth="1"/>
    <col min="14085" max="14333" width="9.140625" style="948"/>
    <col min="14334" max="14334" width="37.85546875" style="948" customWidth="1"/>
    <col min="14335" max="14335" width="14.7109375" style="948" customWidth="1"/>
    <col min="14336" max="14336" width="16.42578125" style="948" customWidth="1"/>
    <col min="14337" max="14337" width="11.85546875" style="948" customWidth="1"/>
    <col min="14338" max="14338" width="10.85546875" style="948" customWidth="1"/>
    <col min="14339" max="14339" width="12.42578125" style="948" customWidth="1"/>
    <col min="14340" max="14340" width="33.140625" style="948" customWidth="1"/>
    <col min="14341" max="14589" width="9.140625" style="948"/>
    <col min="14590" max="14590" width="37.85546875" style="948" customWidth="1"/>
    <col min="14591" max="14591" width="14.7109375" style="948" customWidth="1"/>
    <col min="14592" max="14592" width="16.42578125" style="948" customWidth="1"/>
    <col min="14593" max="14593" width="11.85546875" style="948" customWidth="1"/>
    <col min="14594" max="14594" width="10.85546875" style="948" customWidth="1"/>
    <col min="14595" max="14595" width="12.42578125" style="948" customWidth="1"/>
    <col min="14596" max="14596" width="33.140625" style="948" customWidth="1"/>
    <col min="14597" max="14845" width="9.140625" style="948"/>
    <col min="14846" max="14846" width="37.85546875" style="948" customWidth="1"/>
    <col min="14847" max="14847" width="14.7109375" style="948" customWidth="1"/>
    <col min="14848" max="14848" width="16.42578125" style="948" customWidth="1"/>
    <col min="14849" max="14849" width="11.85546875" style="948" customWidth="1"/>
    <col min="14850" max="14850" width="10.85546875" style="948" customWidth="1"/>
    <col min="14851" max="14851" width="12.42578125" style="948" customWidth="1"/>
    <col min="14852" max="14852" width="33.140625" style="948" customWidth="1"/>
    <col min="14853" max="15101" width="9.140625" style="948"/>
    <col min="15102" max="15102" width="37.85546875" style="948" customWidth="1"/>
    <col min="15103" max="15103" width="14.7109375" style="948" customWidth="1"/>
    <col min="15104" max="15104" width="16.42578125" style="948" customWidth="1"/>
    <col min="15105" max="15105" width="11.85546875" style="948" customWidth="1"/>
    <col min="15106" max="15106" width="10.85546875" style="948" customWidth="1"/>
    <col min="15107" max="15107" width="12.42578125" style="948" customWidth="1"/>
    <col min="15108" max="15108" width="33.140625" style="948" customWidth="1"/>
    <col min="15109" max="15357" width="9.140625" style="948"/>
    <col min="15358" max="15358" width="37.85546875" style="948" customWidth="1"/>
    <col min="15359" max="15359" width="14.7109375" style="948" customWidth="1"/>
    <col min="15360" max="15360" width="16.42578125" style="948" customWidth="1"/>
    <col min="15361" max="15361" width="11.85546875" style="948" customWidth="1"/>
    <col min="15362" max="15362" width="10.85546875" style="948" customWidth="1"/>
    <col min="15363" max="15363" width="12.42578125" style="948" customWidth="1"/>
    <col min="15364" max="15364" width="33.140625" style="948" customWidth="1"/>
    <col min="15365" max="15613" width="9.140625" style="948"/>
    <col min="15614" max="15614" width="37.85546875" style="948" customWidth="1"/>
    <col min="15615" max="15615" width="14.7109375" style="948" customWidth="1"/>
    <col min="15616" max="15616" width="16.42578125" style="948" customWidth="1"/>
    <col min="15617" max="15617" width="11.85546875" style="948" customWidth="1"/>
    <col min="15618" max="15618" width="10.85546875" style="948" customWidth="1"/>
    <col min="15619" max="15619" width="12.42578125" style="948" customWidth="1"/>
    <col min="15620" max="15620" width="33.140625" style="948" customWidth="1"/>
    <col min="15621" max="15869" width="9.140625" style="948"/>
    <col min="15870" max="15870" width="37.85546875" style="948" customWidth="1"/>
    <col min="15871" max="15871" width="14.7109375" style="948" customWidth="1"/>
    <col min="15872" max="15872" width="16.42578125" style="948" customWidth="1"/>
    <col min="15873" max="15873" width="11.85546875" style="948" customWidth="1"/>
    <col min="15874" max="15874" width="10.85546875" style="948" customWidth="1"/>
    <col min="15875" max="15875" width="12.42578125" style="948" customWidth="1"/>
    <col min="15876" max="15876" width="33.140625" style="948" customWidth="1"/>
    <col min="15877" max="16125" width="9.140625" style="948"/>
    <col min="16126" max="16126" width="37.85546875" style="948" customWidth="1"/>
    <col min="16127" max="16127" width="14.7109375" style="948" customWidth="1"/>
    <col min="16128" max="16128" width="16.42578125" style="948" customWidth="1"/>
    <col min="16129" max="16129" width="11.85546875" style="948" customWidth="1"/>
    <col min="16130" max="16130" width="10.85546875" style="948" customWidth="1"/>
    <col min="16131" max="16131" width="12.42578125" style="948" customWidth="1"/>
    <col min="16132" max="16132" width="33.140625" style="948" customWidth="1"/>
    <col min="16133" max="16384" width="9.140625" style="948"/>
  </cols>
  <sheetData>
    <row r="1" spans="1:29" ht="33.75" customHeight="1">
      <c r="A1" s="1259" t="s">
        <v>2656</v>
      </c>
      <c r="B1" s="1260"/>
      <c r="C1" s="1260"/>
      <c r="D1" s="1260"/>
      <c r="G1" s="949" t="s">
        <v>2651</v>
      </c>
      <c r="H1" s="950"/>
      <c r="I1" s="950"/>
      <c r="J1" s="950"/>
      <c r="K1" s="950"/>
      <c r="O1" s="1258" t="s">
        <v>2643</v>
      </c>
      <c r="P1" s="1258"/>
      <c r="Q1" s="1258"/>
      <c r="R1" s="1258" t="s">
        <v>2644</v>
      </c>
      <c r="S1" s="1258"/>
      <c r="T1" s="1258"/>
      <c r="U1" s="1258" t="s">
        <v>2645</v>
      </c>
      <c r="V1" s="1258"/>
      <c r="W1" s="1258"/>
      <c r="X1" s="1258" t="s">
        <v>2646</v>
      </c>
      <c r="Y1" s="1258"/>
      <c r="Z1" s="1258"/>
      <c r="AA1" s="1258" t="s">
        <v>2647</v>
      </c>
      <c r="AB1" s="1258"/>
      <c r="AC1" s="1258"/>
    </row>
    <row r="2" spans="1:29" ht="14.25" customHeight="1">
      <c r="A2" s="951"/>
      <c r="B2" s="952" t="s">
        <v>2657</v>
      </c>
      <c r="C2" s="952" t="s">
        <v>2654</v>
      </c>
      <c r="D2" s="953" t="s">
        <v>2655</v>
      </c>
      <c r="G2" s="954" t="s">
        <v>2652</v>
      </c>
      <c r="H2" s="954" t="s">
        <v>2644</v>
      </c>
      <c r="I2" s="954" t="s">
        <v>2645</v>
      </c>
      <c r="J2" s="954" t="s">
        <v>2646</v>
      </c>
      <c r="K2" s="954" t="s">
        <v>2647</v>
      </c>
      <c r="O2" s="954" t="s">
        <v>2648</v>
      </c>
      <c r="P2" s="954" t="s">
        <v>2649</v>
      </c>
      <c r="Q2" s="954" t="s">
        <v>2650</v>
      </c>
      <c r="R2" s="954" t="s">
        <v>2648</v>
      </c>
      <c r="S2" s="954" t="s">
        <v>2649</v>
      </c>
      <c r="T2" s="954" t="s">
        <v>2650</v>
      </c>
      <c r="U2" s="954" t="s">
        <v>2648</v>
      </c>
      <c r="V2" s="954" t="s">
        <v>2649</v>
      </c>
      <c r="W2" s="954" t="s">
        <v>2650</v>
      </c>
      <c r="X2" s="954" t="s">
        <v>2648</v>
      </c>
      <c r="Y2" s="954" t="s">
        <v>2649</v>
      </c>
      <c r="Z2" s="954" t="s">
        <v>2650</v>
      </c>
      <c r="AA2" s="954" t="s">
        <v>2648</v>
      </c>
      <c r="AB2" s="954" t="s">
        <v>2649</v>
      </c>
      <c r="AC2" s="954" t="s">
        <v>2650</v>
      </c>
    </row>
    <row r="3" spans="1:29" s="957" customFormat="1" ht="27" customHeight="1">
      <c r="A3" s="955" t="s">
        <v>688</v>
      </c>
      <c r="B3" s="956">
        <v>713686106</v>
      </c>
      <c r="C3" s="956">
        <v>114215471</v>
      </c>
      <c r="D3" s="956">
        <v>55563259</v>
      </c>
      <c r="G3" s="958">
        <f>G4+G17</f>
        <v>41454390</v>
      </c>
      <c r="H3" s="958">
        <f>H4+H17</f>
        <v>18685289</v>
      </c>
      <c r="I3" s="958">
        <f>I4+I17</f>
        <v>10396985</v>
      </c>
      <c r="J3" s="958">
        <f>J4+J17</f>
        <v>13790660</v>
      </c>
      <c r="K3" s="958">
        <f>K4+K17+K22</f>
        <v>29469233</v>
      </c>
      <c r="O3" s="975">
        <f>O4+O17</f>
        <v>474167352</v>
      </c>
      <c r="P3" s="975">
        <f t="shared" ref="P3:AC3" si="0">P4+P17</f>
        <v>41292207</v>
      </c>
      <c r="Q3" s="975">
        <f t="shared" si="0"/>
        <v>16482038</v>
      </c>
      <c r="R3" s="975">
        <f t="shared" si="0"/>
        <v>81965259</v>
      </c>
      <c r="S3" s="975">
        <f t="shared" si="0"/>
        <v>18685289</v>
      </c>
      <c r="T3" s="975">
        <f t="shared" si="0"/>
        <v>16061653</v>
      </c>
      <c r="U3" s="975">
        <f t="shared" si="0"/>
        <v>25915475</v>
      </c>
      <c r="V3" s="975">
        <f t="shared" si="0"/>
        <v>10396985</v>
      </c>
      <c r="W3" s="975">
        <f t="shared" si="0"/>
        <v>6266151</v>
      </c>
      <c r="X3" s="975">
        <f t="shared" si="0"/>
        <v>3705042</v>
      </c>
      <c r="Y3" s="975">
        <f t="shared" si="0"/>
        <v>13790660</v>
      </c>
      <c r="Z3" s="975">
        <f t="shared" si="0"/>
        <v>1750008</v>
      </c>
      <c r="AA3" s="975">
        <f t="shared" si="0"/>
        <v>86520293</v>
      </c>
      <c r="AB3" s="975">
        <f t="shared" si="0"/>
        <v>29466370</v>
      </c>
      <c r="AC3" s="975">
        <f t="shared" si="0"/>
        <v>14556350</v>
      </c>
    </row>
    <row r="4" spans="1:29" ht="28.5" customHeight="1">
      <c r="A4" s="959" t="s">
        <v>689</v>
      </c>
      <c r="B4" s="960">
        <v>672283332</v>
      </c>
      <c r="C4" s="961">
        <f>C5+C12+C13+C14+C15</f>
        <v>113626250</v>
      </c>
      <c r="D4" s="962">
        <v>55116572</v>
      </c>
      <c r="G4" s="986">
        <f>G5+G12+G13+G14+G15</f>
        <v>41284083</v>
      </c>
      <c r="H4" s="986">
        <f t="shared" ref="H4:K4" si="1">H5+H12+H13+H14+H15</f>
        <v>18685289</v>
      </c>
      <c r="I4" s="986">
        <f t="shared" si="1"/>
        <v>10396985</v>
      </c>
      <c r="J4" s="986">
        <f t="shared" si="1"/>
        <v>13790660</v>
      </c>
      <c r="K4" s="986">
        <f t="shared" si="1"/>
        <v>29469233</v>
      </c>
      <c r="O4" s="964">
        <f>O5+O12+O13+O14+O15</f>
        <v>474159502</v>
      </c>
      <c r="P4" s="964">
        <f t="shared" ref="P4:AC4" si="2">P5+P12+P13+P14+P15</f>
        <v>41284083</v>
      </c>
      <c r="Q4" s="964">
        <f t="shared" si="2"/>
        <v>16482038</v>
      </c>
      <c r="R4" s="964">
        <f t="shared" si="2"/>
        <v>81965259</v>
      </c>
      <c r="S4" s="964">
        <f t="shared" si="2"/>
        <v>18685289</v>
      </c>
      <c r="T4" s="964">
        <f t="shared" si="2"/>
        <v>16061653</v>
      </c>
      <c r="U4" s="964">
        <f t="shared" si="2"/>
        <v>25915475</v>
      </c>
      <c r="V4" s="964">
        <f t="shared" si="2"/>
        <v>10396985</v>
      </c>
      <c r="W4" s="964">
        <f t="shared" si="2"/>
        <v>6266151</v>
      </c>
      <c r="X4" s="964">
        <f t="shared" si="2"/>
        <v>3705042</v>
      </c>
      <c r="Y4" s="964">
        <f t="shared" si="2"/>
        <v>13790660</v>
      </c>
      <c r="Z4" s="964">
        <f t="shared" si="2"/>
        <v>1750008</v>
      </c>
      <c r="AA4" s="964">
        <f t="shared" si="2"/>
        <v>86479701</v>
      </c>
      <c r="AB4" s="964">
        <f t="shared" si="2"/>
        <v>29466370</v>
      </c>
      <c r="AC4" s="964">
        <f t="shared" si="2"/>
        <v>14556350</v>
      </c>
    </row>
    <row r="5" spans="1:29" s="977" customFormat="1">
      <c r="A5" s="965" t="s">
        <v>691</v>
      </c>
      <c r="B5" s="976">
        <v>425894086</v>
      </c>
      <c r="C5" s="976">
        <f>C6+C7+C8+C9+C10+C11</f>
        <v>38267337</v>
      </c>
      <c r="D5" s="976">
        <v>14311641</v>
      </c>
      <c r="G5" s="978">
        <v>35878089</v>
      </c>
      <c r="H5" s="978">
        <v>748637</v>
      </c>
      <c r="I5" s="978">
        <v>468055</v>
      </c>
      <c r="J5" s="978">
        <v>53030</v>
      </c>
      <c r="K5" s="978">
        <v>1116663</v>
      </c>
      <c r="O5" s="979">
        <v>415770812</v>
      </c>
      <c r="P5" s="979">
        <v>35878089</v>
      </c>
      <c r="Q5" s="979">
        <v>14016403</v>
      </c>
      <c r="R5" s="979">
        <v>6680549</v>
      </c>
      <c r="S5" s="979">
        <v>748637</v>
      </c>
      <c r="T5" s="979">
        <v>126722</v>
      </c>
      <c r="U5" s="976">
        <v>194425</v>
      </c>
      <c r="V5" s="976">
        <v>468055</v>
      </c>
      <c r="W5" s="976">
        <v>112367</v>
      </c>
      <c r="X5" s="976">
        <v>145384</v>
      </c>
      <c r="Y5" s="976">
        <v>53030</v>
      </c>
      <c r="Z5" s="976">
        <v>424</v>
      </c>
      <c r="AA5" s="976">
        <v>3078158</v>
      </c>
      <c r="AB5" s="976">
        <v>1116663</v>
      </c>
      <c r="AC5" s="976">
        <v>55353</v>
      </c>
    </row>
    <row r="6" spans="1:29">
      <c r="A6" s="968" t="s">
        <v>692</v>
      </c>
      <c r="B6" s="956">
        <v>98725399</v>
      </c>
      <c r="C6" s="969">
        <v>9090514</v>
      </c>
      <c r="D6" s="970">
        <v>827149</v>
      </c>
      <c r="G6" s="984">
        <v>8716241</v>
      </c>
      <c r="H6" s="984">
        <v>41160</v>
      </c>
      <c r="I6" s="984">
        <v>130615</v>
      </c>
      <c r="J6" s="984">
        <v>11061</v>
      </c>
      <c r="K6" s="984">
        <v>191437</v>
      </c>
      <c r="O6" s="967">
        <v>97337099</v>
      </c>
      <c r="P6" s="967">
        <v>8716241</v>
      </c>
      <c r="Q6" s="967">
        <v>777423</v>
      </c>
      <c r="R6" s="967">
        <v>1092137</v>
      </c>
      <c r="S6" s="967">
        <v>41160</v>
      </c>
      <c r="T6" s="967">
        <v>125</v>
      </c>
      <c r="U6" s="956">
        <v>68577</v>
      </c>
      <c r="V6" s="956">
        <v>130615</v>
      </c>
      <c r="W6" s="956">
        <v>49178</v>
      </c>
      <c r="X6" s="956">
        <v>113401</v>
      </c>
      <c r="Y6" s="956">
        <v>11061</v>
      </c>
      <c r="Z6" s="956">
        <v>0</v>
      </c>
      <c r="AA6" s="956">
        <v>114185</v>
      </c>
      <c r="AB6" s="956">
        <v>191437</v>
      </c>
      <c r="AC6" s="956">
        <v>423</v>
      </c>
    </row>
    <row r="7" spans="1:29" ht="25.5">
      <c r="A7" s="968" t="s">
        <v>693</v>
      </c>
      <c r="B7" s="956">
        <v>47918646</v>
      </c>
      <c r="C7" s="969">
        <v>2579466</v>
      </c>
      <c r="D7" s="970">
        <v>332864</v>
      </c>
      <c r="G7" s="984">
        <v>2067342</v>
      </c>
      <c r="H7" s="984">
        <v>259721</v>
      </c>
      <c r="I7" s="984">
        <v>93230</v>
      </c>
      <c r="J7" s="984">
        <v>5200</v>
      </c>
      <c r="K7" s="984">
        <v>153973</v>
      </c>
      <c r="O7" s="967">
        <v>46175664</v>
      </c>
      <c r="P7" s="967">
        <v>2067342</v>
      </c>
      <c r="Q7" s="967">
        <v>314545</v>
      </c>
      <c r="R7" s="967">
        <v>1646975</v>
      </c>
      <c r="S7" s="967">
        <v>259721</v>
      </c>
      <c r="T7" s="967">
        <v>18293</v>
      </c>
      <c r="U7" s="956">
        <v>0</v>
      </c>
      <c r="V7" s="956">
        <v>93230</v>
      </c>
      <c r="W7" s="956">
        <v>0</v>
      </c>
      <c r="X7" s="956">
        <v>0</v>
      </c>
      <c r="Y7" s="956">
        <v>5200</v>
      </c>
      <c r="Z7" s="956">
        <v>0</v>
      </c>
      <c r="AA7" s="956">
        <v>96007</v>
      </c>
      <c r="AB7" s="956">
        <v>153973</v>
      </c>
      <c r="AC7" s="956">
        <v>26</v>
      </c>
    </row>
    <row r="8" spans="1:29">
      <c r="A8" s="968" t="s">
        <v>694</v>
      </c>
      <c r="B8" s="956">
        <v>12099485</v>
      </c>
      <c r="C8" s="969">
        <v>6299660</v>
      </c>
      <c r="D8" s="956">
        <v>3017994</v>
      </c>
      <c r="G8" s="984">
        <v>6280056</v>
      </c>
      <c r="H8" s="984">
        <v>0</v>
      </c>
      <c r="I8" s="984">
        <v>534</v>
      </c>
      <c r="J8" s="984">
        <v>0</v>
      </c>
      <c r="K8" s="984">
        <v>16207</v>
      </c>
      <c r="O8" s="967">
        <v>11936100</v>
      </c>
      <c r="P8" s="967">
        <v>6280056</v>
      </c>
      <c r="Q8" s="967">
        <v>2966574</v>
      </c>
      <c r="R8" s="967">
        <v>0</v>
      </c>
      <c r="S8" s="967">
        <v>0</v>
      </c>
      <c r="T8" s="967">
        <v>0</v>
      </c>
      <c r="U8" s="956">
        <v>3885</v>
      </c>
      <c r="V8" s="956">
        <v>534</v>
      </c>
      <c r="W8" s="956">
        <v>0</v>
      </c>
      <c r="X8" s="956">
        <v>0</v>
      </c>
      <c r="Y8" s="956">
        <v>0</v>
      </c>
      <c r="Z8" s="956">
        <v>0</v>
      </c>
      <c r="AA8" s="956">
        <v>134742</v>
      </c>
      <c r="AB8" s="956">
        <v>16207</v>
      </c>
      <c r="AC8" s="956">
        <v>51048</v>
      </c>
    </row>
    <row r="9" spans="1:29" ht="31.5" customHeight="1">
      <c r="A9" s="968" t="s">
        <v>695</v>
      </c>
      <c r="B9" s="956">
        <v>13812785</v>
      </c>
      <c r="C9" s="969">
        <v>551285</v>
      </c>
      <c r="D9" s="970">
        <v>23984</v>
      </c>
      <c r="G9" s="984">
        <v>551285</v>
      </c>
      <c r="H9" s="984">
        <v>0</v>
      </c>
      <c r="I9" s="984">
        <v>0</v>
      </c>
      <c r="J9" s="984">
        <v>0</v>
      </c>
      <c r="K9" s="984">
        <v>0</v>
      </c>
      <c r="M9" s="967"/>
      <c r="O9" s="967">
        <v>13654485</v>
      </c>
      <c r="P9" s="967">
        <v>551285</v>
      </c>
      <c r="Q9" s="967">
        <v>23984</v>
      </c>
      <c r="R9" s="967">
        <v>87608</v>
      </c>
      <c r="S9" s="967">
        <v>0</v>
      </c>
      <c r="T9" s="967">
        <v>0</v>
      </c>
      <c r="U9" s="956">
        <v>0</v>
      </c>
      <c r="V9" s="956">
        <v>0</v>
      </c>
      <c r="W9" s="956">
        <v>0</v>
      </c>
      <c r="X9" s="956">
        <v>0</v>
      </c>
      <c r="Y9" s="956">
        <v>0</v>
      </c>
      <c r="Z9" s="956">
        <v>0</v>
      </c>
      <c r="AA9" s="956">
        <v>70692</v>
      </c>
      <c r="AB9" s="956">
        <v>0</v>
      </c>
      <c r="AC9" s="956">
        <v>0</v>
      </c>
    </row>
    <row r="10" spans="1:29" ht="25.5">
      <c r="A10" s="968" t="s">
        <v>696</v>
      </c>
      <c r="B10" s="956">
        <v>31618139</v>
      </c>
      <c r="C10" s="969">
        <v>1926377</v>
      </c>
      <c r="D10" s="970">
        <v>1008185</v>
      </c>
      <c r="G10" s="984">
        <v>1907592</v>
      </c>
      <c r="H10" s="984">
        <v>10666</v>
      </c>
      <c r="I10" s="984">
        <v>0</v>
      </c>
      <c r="J10" s="984">
        <v>3924</v>
      </c>
      <c r="K10" s="984">
        <v>4195</v>
      </c>
      <c r="O10" s="967">
        <v>31403245</v>
      </c>
      <c r="P10" s="967">
        <v>1907592</v>
      </c>
      <c r="Q10" s="967">
        <v>998573</v>
      </c>
      <c r="R10" s="967">
        <v>174302</v>
      </c>
      <c r="S10" s="967">
        <v>10666</v>
      </c>
      <c r="T10" s="967">
        <v>9612</v>
      </c>
      <c r="U10" s="956">
        <v>0</v>
      </c>
      <c r="V10" s="956">
        <v>0</v>
      </c>
      <c r="W10" s="956">
        <v>0</v>
      </c>
      <c r="X10" s="956">
        <v>0</v>
      </c>
      <c r="Y10" s="956">
        <v>3924</v>
      </c>
      <c r="Z10" s="956">
        <v>0</v>
      </c>
      <c r="AA10" s="956">
        <v>40592</v>
      </c>
      <c r="AB10" s="956">
        <v>4195</v>
      </c>
      <c r="AC10" s="956">
        <v>0</v>
      </c>
    </row>
    <row r="11" spans="1:29">
      <c r="A11" s="968" t="s">
        <v>697</v>
      </c>
      <c r="B11" s="956">
        <v>221719632</v>
      </c>
      <c r="C11" s="969">
        <v>17820035</v>
      </c>
      <c r="D11" s="970">
        <v>9101465</v>
      </c>
      <c r="G11" s="984">
        <v>16355573</v>
      </c>
      <c r="H11" s="984">
        <v>437090</v>
      </c>
      <c r="I11" s="984">
        <v>243676</v>
      </c>
      <c r="J11" s="984">
        <v>32845</v>
      </c>
      <c r="K11" s="984">
        <v>750851</v>
      </c>
      <c r="O11" s="967">
        <v>215264219</v>
      </c>
      <c r="P11" s="967">
        <v>16355573</v>
      </c>
      <c r="Q11" s="967">
        <v>8935304</v>
      </c>
      <c r="R11" s="967">
        <v>3679527</v>
      </c>
      <c r="S11" s="967">
        <v>437090</v>
      </c>
      <c r="T11" s="967">
        <v>98692</v>
      </c>
      <c r="U11" s="956">
        <v>121963</v>
      </c>
      <c r="V11" s="956">
        <v>243676</v>
      </c>
      <c r="W11" s="956">
        <v>63189</v>
      </c>
      <c r="X11" s="956">
        <v>31983</v>
      </c>
      <c r="Y11" s="956">
        <v>32845</v>
      </c>
      <c r="Z11" s="956">
        <v>424</v>
      </c>
      <c r="AA11" s="956">
        <v>2621940</v>
      </c>
      <c r="AB11" s="956">
        <v>750851</v>
      </c>
      <c r="AC11" s="956">
        <v>3856</v>
      </c>
    </row>
    <row r="12" spans="1:29" s="981" customFormat="1" ht="25.5">
      <c r="A12" s="965" t="s">
        <v>698</v>
      </c>
      <c r="B12" s="976">
        <v>119577793</v>
      </c>
      <c r="C12" s="980">
        <v>22071303</v>
      </c>
      <c r="D12" s="976">
        <v>18879715</v>
      </c>
      <c r="G12" s="987">
        <v>2219124</v>
      </c>
      <c r="H12" s="987">
        <v>15145466</v>
      </c>
      <c r="I12" s="987">
        <v>3115563</v>
      </c>
      <c r="J12" s="987">
        <v>236783</v>
      </c>
      <c r="K12" s="987">
        <v>1354367</v>
      </c>
      <c r="O12" s="979">
        <v>39567681</v>
      </c>
      <c r="P12" s="979">
        <v>2219124</v>
      </c>
      <c r="Q12" s="979">
        <v>1118081</v>
      </c>
      <c r="R12" s="979">
        <v>65891009</v>
      </c>
      <c r="S12" s="979">
        <v>15145466</v>
      </c>
      <c r="T12" s="979">
        <v>14281868</v>
      </c>
      <c r="U12" s="976">
        <v>5045524</v>
      </c>
      <c r="V12" s="976">
        <v>3115563</v>
      </c>
      <c r="W12" s="976">
        <v>1039901</v>
      </c>
      <c r="X12" s="976">
        <v>0</v>
      </c>
      <c r="Y12" s="976">
        <v>236783</v>
      </c>
      <c r="Z12" s="976">
        <v>35848</v>
      </c>
      <c r="AA12" s="976">
        <v>9073579</v>
      </c>
      <c r="AB12" s="976">
        <v>1354367</v>
      </c>
      <c r="AC12" s="976">
        <v>2404017</v>
      </c>
    </row>
    <row r="13" spans="1:29" s="977" customFormat="1" ht="25.5">
      <c r="A13" s="965" t="s">
        <v>699</v>
      </c>
      <c r="B13" s="976">
        <v>40046273</v>
      </c>
      <c r="C13" s="980">
        <v>9775228</v>
      </c>
      <c r="D13" s="976">
        <v>5229822</v>
      </c>
      <c r="G13" s="987">
        <v>1159024</v>
      </c>
      <c r="H13" s="987">
        <v>2166823</v>
      </c>
      <c r="I13" s="987">
        <v>5452647</v>
      </c>
      <c r="J13" s="987">
        <v>152722</v>
      </c>
      <c r="K13" s="987">
        <v>844012</v>
      </c>
      <c r="O13" s="979">
        <v>11260378</v>
      </c>
      <c r="P13" s="979">
        <v>1159024</v>
      </c>
      <c r="Q13" s="979">
        <v>508250</v>
      </c>
      <c r="R13" s="979">
        <v>6490537</v>
      </c>
      <c r="S13" s="979">
        <v>2166823</v>
      </c>
      <c r="T13" s="979">
        <v>799623</v>
      </c>
      <c r="U13" s="976">
        <v>19803352</v>
      </c>
      <c r="V13" s="976">
        <v>5452647</v>
      </c>
      <c r="W13" s="976">
        <v>3641237</v>
      </c>
      <c r="X13" s="976">
        <v>2231</v>
      </c>
      <c r="Y13" s="976">
        <v>152722</v>
      </c>
      <c r="Z13" s="976">
        <v>66088</v>
      </c>
      <c r="AA13" s="976">
        <v>2489775</v>
      </c>
      <c r="AB13" s="976">
        <v>844012</v>
      </c>
      <c r="AC13" s="976">
        <v>214624</v>
      </c>
    </row>
    <row r="14" spans="1:29" s="981" customFormat="1">
      <c r="A14" s="965" t="s">
        <v>700</v>
      </c>
      <c r="B14" s="976">
        <v>5755518</v>
      </c>
      <c r="C14" s="980">
        <v>14828125</v>
      </c>
      <c r="D14" s="976">
        <v>2608225</v>
      </c>
      <c r="G14" s="987">
        <v>328592</v>
      </c>
      <c r="H14" s="987">
        <v>343569</v>
      </c>
      <c r="I14" s="987">
        <v>52839</v>
      </c>
      <c r="J14" s="987">
        <v>13303073</v>
      </c>
      <c r="K14" s="987">
        <v>800052</v>
      </c>
      <c r="O14" s="979">
        <v>1338292</v>
      </c>
      <c r="P14" s="979">
        <v>328592</v>
      </c>
      <c r="Q14" s="979">
        <v>193018</v>
      </c>
      <c r="R14" s="979">
        <v>687313</v>
      </c>
      <c r="S14" s="979">
        <v>343569</v>
      </c>
      <c r="T14" s="979">
        <v>384473</v>
      </c>
      <c r="U14" s="976">
        <v>519</v>
      </c>
      <c r="V14" s="976">
        <v>52839</v>
      </c>
      <c r="W14" s="976">
        <v>317823</v>
      </c>
      <c r="X14" s="976">
        <v>3557427</v>
      </c>
      <c r="Y14" s="976">
        <v>13303073</v>
      </c>
      <c r="Z14" s="976">
        <v>1608377</v>
      </c>
      <c r="AA14" s="976">
        <v>171967</v>
      </c>
      <c r="AB14" s="976">
        <v>800052</v>
      </c>
      <c r="AC14" s="976">
        <v>104534</v>
      </c>
    </row>
    <row r="15" spans="1:29" s="957" customFormat="1" ht="29.25" customHeight="1">
      <c r="A15" s="968" t="s">
        <v>701</v>
      </c>
      <c r="B15" s="956">
        <v>81009662</v>
      </c>
      <c r="C15" s="969">
        <v>28684257</v>
      </c>
      <c r="D15" s="956">
        <v>14087169</v>
      </c>
      <c r="G15" s="984">
        <v>1699254</v>
      </c>
      <c r="H15" s="984">
        <v>280794</v>
      </c>
      <c r="I15" s="984">
        <v>1307881</v>
      </c>
      <c r="J15" s="984">
        <v>45052</v>
      </c>
      <c r="K15" s="984">
        <f>25351276+2863</f>
        <v>25354139</v>
      </c>
      <c r="O15" s="967">
        <v>6222339</v>
      </c>
      <c r="P15" s="967">
        <v>1699254</v>
      </c>
      <c r="Q15" s="967">
        <v>646286</v>
      </c>
      <c r="R15" s="967">
        <v>2215851</v>
      </c>
      <c r="S15" s="967">
        <v>280794</v>
      </c>
      <c r="T15" s="967">
        <v>468967</v>
      </c>
      <c r="U15" s="956">
        <v>871655</v>
      </c>
      <c r="V15" s="956">
        <v>1307881</v>
      </c>
      <c r="W15" s="956">
        <v>1154823</v>
      </c>
      <c r="X15" s="956">
        <v>0</v>
      </c>
      <c r="Y15" s="956">
        <v>45052</v>
      </c>
      <c r="Z15" s="956">
        <v>39271</v>
      </c>
      <c r="AA15" s="956">
        <v>71666222</v>
      </c>
      <c r="AB15" s="956">
        <v>25351276</v>
      </c>
      <c r="AC15" s="956">
        <v>11777822</v>
      </c>
    </row>
    <row r="16" spans="1:29" s="957" customFormat="1" ht="56.25" customHeight="1">
      <c r="A16" s="968"/>
      <c r="B16" s="956"/>
      <c r="C16" s="956"/>
      <c r="D16" s="956"/>
      <c r="G16" s="972"/>
      <c r="H16" s="972"/>
      <c r="I16" s="972"/>
      <c r="J16" s="972"/>
      <c r="K16" s="972"/>
      <c r="R16" s="967"/>
      <c r="S16" s="967"/>
      <c r="T16" s="967"/>
    </row>
    <row r="17" spans="1:29" s="971" customFormat="1" ht="38.25">
      <c r="A17" s="959" t="s">
        <v>702</v>
      </c>
      <c r="B17" s="956">
        <v>36868498</v>
      </c>
      <c r="C17" s="956">
        <v>334175</v>
      </c>
      <c r="D17" s="956">
        <v>400712</v>
      </c>
      <c r="G17" s="963">
        <f t="shared" ref="G17" si="3">G18+G19+G20+G21</f>
        <v>170307</v>
      </c>
      <c r="H17" s="973"/>
      <c r="I17" s="973"/>
      <c r="J17" s="973"/>
      <c r="K17" s="973"/>
      <c r="O17" s="964">
        <f>O18+O19+O20+O21</f>
        <v>7850</v>
      </c>
      <c r="P17" s="964">
        <f t="shared" ref="P17:Q17" si="4">P18+P19+P20+P21</f>
        <v>8124</v>
      </c>
      <c r="Q17" s="964">
        <f t="shared" si="4"/>
        <v>0</v>
      </c>
      <c r="R17" s="967"/>
      <c r="S17" s="967"/>
      <c r="T17" s="967"/>
      <c r="AA17" s="964">
        <f>AA18+AA19+AA20+AA21</f>
        <v>40592</v>
      </c>
      <c r="AB17" s="964">
        <f t="shared" ref="AB17:AC17" si="5">AB18+AB19+AB20+AB21</f>
        <v>0</v>
      </c>
      <c r="AC17" s="964">
        <f t="shared" si="5"/>
        <v>0</v>
      </c>
    </row>
    <row r="18" spans="1:29" ht="25.5">
      <c r="A18" s="968" t="s">
        <v>703</v>
      </c>
      <c r="B18" s="956">
        <v>736992</v>
      </c>
      <c r="C18" s="969">
        <v>5897</v>
      </c>
      <c r="D18" s="956">
        <v>320934</v>
      </c>
      <c r="G18" s="984">
        <f>C18</f>
        <v>5897</v>
      </c>
      <c r="H18" s="982"/>
      <c r="I18" s="982"/>
      <c r="J18" s="982"/>
      <c r="K18" s="982"/>
      <c r="O18" s="967">
        <v>7850</v>
      </c>
      <c r="P18" s="967">
        <v>0</v>
      </c>
      <c r="Q18" s="967">
        <v>0</v>
      </c>
      <c r="R18" s="967"/>
      <c r="S18" s="967"/>
      <c r="T18" s="967"/>
      <c r="X18" s="956">
        <v>0</v>
      </c>
      <c r="Y18" s="956">
        <v>0</v>
      </c>
      <c r="Z18" s="956">
        <v>0</v>
      </c>
      <c r="AA18" s="956">
        <v>0</v>
      </c>
      <c r="AB18" s="956">
        <v>0</v>
      </c>
      <c r="AC18" s="956">
        <v>0</v>
      </c>
    </row>
    <row r="19" spans="1:29" ht="63.75">
      <c r="A19" s="968" t="s">
        <v>704</v>
      </c>
      <c r="B19" s="956">
        <v>15183197</v>
      </c>
      <c r="C19" s="969">
        <v>24410</v>
      </c>
      <c r="D19" s="956">
        <v>1858</v>
      </c>
      <c r="G19" s="984">
        <f t="shared" ref="G19:G20" si="6">C19</f>
        <v>24410</v>
      </c>
      <c r="H19" s="982"/>
      <c r="I19" s="982"/>
      <c r="J19" s="982"/>
      <c r="K19" s="982"/>
      <c r="O19" s="967">
        <v>0</v>
      </c>
      <c r="P19" s="988">
        <v>930</v>
      </c>
      <c r="Q19" s="967">
        <v>0</v>
      </c>
      <c r="R19" s="967"/>
      <c r="S19" s="967"/>
      <c r="T19" s="967"/>
      <c r="X19" s="956">
        <v>0</v>
      </c>
      <c r="Y19" s="956">
        <v>0</v>
      </c>
      <c r="Z19" s="956">
        <v>0</v>
      </c>
      <c r="AA19" s="956">
        <v>0</v>
      </c>
      <c r="AB19" s="956">
        <v>0</v>
      </c>
      <c r="AC19" s="956">
        <v>0</v>
      </c>
    </row>
    <row r="20" spans="1:29" s="971" customFormat="1" ht="25.5">
      <c r="A20" s="968" t="s">
        <v>705</v>
      </c>
      <c r="B20" s="956">
        <v>7677995</v>
      </c>
      <c r="C20" s="969">
        <v>140000</v>
      </c>
      <c r="D20" s="956">
        <v>0</v>
      </c>
      <c r="G20" s="984">
        <f t="shared" si="6"/>
        <v>140000</v>
      </c>
      <c r="H20" s="985"/>
      <c r="I20" s="985"/>
      <c r="J20" s="985"/>
      <c r="K20" s="985"/>
      <c r="O20" s="967">
        <v>0</v>
      </c>
      <c r="P20" s="967">
        <v>0</v>
      </c>
      <c r="Q20" s="967">
        <v>0</v>
      </c>
      <c r="R20" s="967"/>
      <c r="S20" s="967"/>
      <c r="T20" s="967"/>
      <c r="X20" s="956">
        <v>0</v>
      </c>
      <c r="Y20" s="956">
        <v>0</v>
      </c>
      <c r="Z20" s="956">
        <v>0</v>
      </c>
      <c r="AA20" s="956">
        <v>0</v>
      </c>
      <c r="AB20" s="956">
        <v>0</v>
      </c>
      <c r="AC20" s="956">
        <v>0</v>
      </c>
    </row>
    <row r="21" spans="1:29" s="957" customFormat="1" ht="25.5">
      <c r="A21" s="968" t="s">
        <v>706</v>
      </c>
      <c r="B21" s="956">
        <v>13270314</v>
      </c>
      <c r="C21" s="956">
        <v>163868</v>
      </c>
      <c r="D21" s="956">
        <v>77920</v>
      </c>
      <c r="G21" s="966"/>
      <c r="H21" s="972"/>
      <c r="I21" s="972"/>
      <c r="J21" s="972"/>
      <c r="K21" s="972"/>
      <c r="O21" s="967">
        <v>0</v>
      </c>
      <c r="P21" s="967">
        <v>7194</v>
      </c>
      <c r="Q21" s="967">
        <v>0</v>
      </c>
      <c r="R21" s="967"/>
      <c r="S21" s="967"/>
      <c r="T21" s="967"/>
      <c r="X21" s="956">
        <v>0</v>
      </c>
      <c r="Y21" s="956">
        <v>0</v>
      </c>
      <c r="Z21" s="956">
        <v>0</v>
      </c>
      <c r="AA21" s="956">
        <v>40592</v>
      </c>
      <c r="AB21" s="956">
        <v>0</v>
      </c>
      <c r="AC21" s="956">
        <v>0</v>
      </c>
    </row>
    <row r="22" spans="1:29" ht="38.25">
      <c r="A22" s="959" t="s">
        <v>707</v>
      </c>
      <c r="B22" s="956">
        <v>4534276</v>
      </c>
      <c r="C22" s="956">
        <v>255046</v>
      </c>
      <c r="D22" s="956">
        <v>45975</v>
      </c>
      <c r="G22" s="974"/>
      <c r="H22" s="974"/>
      <c r="I22" s="974"/>
      <c r="J22" s="974"/>
      <c r="K22" s="974"/>
      <c r="O22" s="964">
        <f>O23+O24+O25</f>
        <v>187059</v>
      </c>
      <c r="P22" s="964">
        <f t="shared" ref="P22:Q22" si="7">P23+P24+P25</f>
        <v>0</v>
      </c>
      <c r="Q22" s="964">
        <f t="shared" si="7"/>
        <v>0</v>
      </c>
      <c r="R22" s="967"/>
      <c r="S22" s="967"/>
      <c r="T22" s="967"/>
      <c r="AA22" s="964">
        <f>AA23+AA24+AA25</f>
        <v>24774</v>
      </c>
      <c r="AB22" s="964">
        <f t="shared" ref="AB22:AC22" si="8">AB23+AB24+AB25</f>
        <v>29716</v>
      </c>
      <c r="AC22" s="964">
        <f t="shared" si="8"/>
        <v>0</v>
      </c>
    </row>
    <row r="23" spans="1:29" ht="38.25">
      <c r="A23" s="968" t="s">
        <v>708</v>
      </c>
      <c r="B23" s="956">
        <v>1239953</v>
      </c>
      <c r="C23" s="969">
        <v>20886</v>
      </c>
      <c r="D23" s="956">
        <v>2659</v>
      </c>
      <c r="G23" s="982"/>
      <c r="H23" s="982"/>
      <c r="I23" s="982"/>
      <c r="J23" s="982"/>
      <c r="K23" s="983"/>
      <c r="O23" s="967">
        <v>182020</v>
      </c>
      <c r="P23" s="967">
        <v>0</v>
      </c>
      <c r="Q23" s="967">
        <v>0</v>
      </c>
      <c r="R23" s="967"/>
      <c r="S23" s="967"/>
      <c r="T23" s="967"/>
      <c r="X23" s="956">
        <v>0</v>
      </c>
      <c r="Y23" s="956">
        <v>0</v>
      </c>
      <c r="Z23" s="956">
        <v>0</v>
      </c>
      <c r="AA23" s="956">
        <v>0</v>
      </c>
      <c r="AB23" s="956">
        <v>0</v>
      </c>
      <c r="AC23" s="956">
        <v>0</v>
      </c>
    </row>
    <row r="24" spans="1:29">
      <c r="A24" s="968" t="s">
        <v>709</v>
      </c>
      <c r="B24" s="956">
        <v>809618</v>
      </c>
      <c r="C24" s="956">
        <v>11547</v>
      </c>
      <c r="D24" s="956">
        <v>0</v>
      </c>
      <c r="G24" s="974"/>
      <c r="H24" s="974"/>
      <c r="I24" s="974"/>
      <c r="J24" s="974"/>
      <c r="K24" s="947"/>
      <c r="O24" s="967">
        <v>0</v>
      </c>
      <c r="P24" s="967">
        <v>0</v>
      </c>
      <c r="Q24" s="967">
        <v>0</v>
      </c>
      <c r="R24" s="967"/>
      <c r="S24" s="967"/>
      <c r="T24" s="967"/>
      <c r="X24" s="956">
        <v>0</v>
      </c>
      <c r="Y24" s="956">
        <v>0</v>
      </c>
      <c r="Z24" s="956">
        <v>0</v>
      </c>
      <c r="AA24" s="956">
        <v>0</v>
      </c>
      <c r="AB24" s="956">
        <v>0</v>
      </c>
      <c r="AC24" s="956">
        <v>0</v>
      </c>
    </row>
    <row r="25" spans="1:29" ht="38.25">
      <c r="A25" s="968" t="s">
        <v>710</v>
      </c>
      <c r="B25" s="956">
        <v>2484705</v>
      </c>
      <c r="C25" s="956">
        <v>222613</v>
      </c>
      <c r="D25" s="956">
        <v>43316</v>
      </c>
      <c r="G25" s="974"/>
      <c r="H25" s="974"/>
      <c r="I25" s="974"/>
      <c r="J25" s="974"/>
      <c r="K25" s="947"/>
      <c r="O25" s="967">
        <v>5039</v>
      </c>
      <c r="P25" s="967">
        <v>0</v>
      </c>
      <c r="Q25" s="967">
        <v>0</v>
      </c>
      <c r="R25" s="967"/>
      <c r="S25" s="967"/>
      <c r="T25" s="967"/>
      <c r="X25" s="956">
        <v>0</v>
      </c>
      <c r="Y25" s="956">
        <v>0</v>
      </c>
      <c r="Z25" s="956">
        <v>0</v>
      </c>
      <c r="AA25" s="956">
        <v>24774</v>
      </c>
      <c r="AB25" s="956">
        <v>29716</v>
      </c>
      <c r="AC25" s="956">
        <v>0</v>
      </c>
    </row>
  </sheetData>
  <mergeCells count="6">
    <mergeCell ref="AA1:AC1"/>
    <mergeCell ref="A1:D1"/>
    <mergeCell ref="O1:Q1"/>
    <mergeCell ref="R1:T1"/>
    <mergeCell ref="U1:W1"/>
    <mergeCell ref="X1:Z1"/>
  </mergeCells>
  <printOptions horizontalCentered="1"/>
  <pageMargins left="0.78740157480314965" right="0.39370078740157483" top="0.39370078740157483" bottom="0.39370078740157483" header="0.31496062992125984" footer="0.47244094488188981"/>
  <pageSetup paperSize="9" scale="95" firstPageNumber="5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15</vt:i4>
      </vt:variant>
    </vt:vector>
  </HeadingPairs>
  <TitlesOfParts>
    <vt:vector size="44" baseType="lpstr">
      <vt:lpstr>FS-HF</vt:lpstr>
      <vt:lpstr>HF-HP</vt:lpstr>
      <vt:lpstr>HF-HC</vt:lpstr>
      <vt:lpstr>HC-HP</vt:lpstr>
      <vt:lpstr>FSxHFnew</vt:lpstr>
      <vt:lpstr>HCxHFnew</vt:lpstr>
      <vt:lpstr>HPxHFnew</vt:lpstr>
      <vt:lpstr>HCxHPnew</vt:lpstr>
      <vt:lpstr>ОУ 2015</vt:lpstr>
      <vt:lpstr>Розница ЛС</vt:lpstr>
      <vt:lpstr>ОДХnew</vt:lpstr>
      <vt:lpstr>ФХД2</vt:lpstr>
      <vt:lpstr>НБ выпл.</vt:lpstr>
      <vt:lpstr>НБ прем.</vt:lpstr>
      <vt:lpstr>OДХold</vt:lpstr>
      <vt:lpstr>РБ 2015</vt:lpstr>
      <vt:lpstr>ГБ 2015</vt:lpstr>
      <vt:lpstr>ГБ 2016</vt:lpstr>
      <vt:lpstr>МБ 2016</vt:lpstr>
      <vt:lpstr>Мб 2015</vt:lpstr>
      <vt:lpstr>КОМУ 2015</vt:lpstr>
      <vt:lpstr>КОМУ 2016</vt:lpstr>
      <vt:lpstr>ДФ 2015</vt:lpstr>
      <vt:lpstr>ДФ 2016</vt:lpstr>
      <vt:lpstr>009 2015</vt:lpstr>
      <vt:lpstr>009 2016</vt:lpstr>
      <vt:lpstr>039 2015</vt:lpstr>
      <vt:lpstr>039 2016</vt:lpstr>
      <vt:lpstr>Доноры</vt:lpstr>
      <vt:lpstr>'ОУ 2015'!TABLE</vt:lpstr>
      <vt:lpstr>'ОУ 2015'!TABLE_2</vt:lpstr>
      <vt:lpstr>'ГБ 2015'!Заголовки_для_печати</vt:lpstr>
      <vt:lpstr>'ГБ 2016'!Заголовки_для_печати</vt:lpstr>
      <vt:lpstr>'Мб 2015'!Заголовки_для_печати</vt:lpstr>
      <vt:lpstr>'МБ 2016'!Заголовки_для_печати</vt:lpstr>
      <vt:lpstr>'ОУ 2015'!Заголовки_для_печати</vt:lpstr>
      <vt:lpstr>'РБ 2015'!Заголовки_для_печати</vt:lpstr>
      <vt:lpstr>ФХД2!Заголовки_для_печати</vt:lpstr>
      <vt:lpstr>'FS-HF'!Область_печати</vt:lpstr>
      <vt:lpstr>'HC-HP'!Область_печати</vt:lpstr>
      <vt:lpstr>'HF-HC'!Область_печати</vt:lpstr>
      <vt:lpstr>'HF-HP'!Область_печати</vt:lpstr>
      <vt:lpstr>'ДФ 2015'!Область_печати</vt:lpstr>
      <vt:lpstr>'Розница ЛС'!Область_печати</vt:lpstr>
    </vt:vector>
  </TitlesOfParts>
  <Company>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Azamat Umertayev</cp:lastModifiedBy>
  <cp:lastPrinted>2016-11-30T05:33:37Z</cp:lastPrinted>
  <dcterms:created xsi:type="dcterms:W3CDTF">2003-05-20T10:03:43Z</dcterms:created>
  <dcterms:modified xsi:type="dcterms:W3CDTF">2018-01-20T10:20:46Z</dcterms:modified>
</cp:coreProperties>
</file>